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ESTION 2018\1. Pensamiento y Direccionamiento\Plan de Accion\Avances\"/>
    </mc:Choice>
  </mc:AlternateContent>
  <bookViews>
    <workbookView xWindow="240" yWindow="810" windowWidth="20115" windowHeight="5745" tabRatio="744" activeTab="11"/>
  </bookViews>
  <sheets>
    <sheet name="GEyP" sheetId="1" r:id="rId1"/>
    <sheet name="GAESPO" sheetId="3" r:id="rId2"/>
    <sheet name="GDS" sheetId="6" r:id="rId3"/>
    <sheet name="OCI" sheetId="7" r:id="rId4"/>
    <sheet name="OAJ" sheetId="8" r:id="rId5"/>
    <sheet name="GGH" sheetId="9" r:id="rId6"/>
    <sheet name="GGF" sheetId="10" r:id="rId7"/>
    <sheet name="GGA" sheetId="11" r:id="rId8"/>
    <sheet name="GCyP" sheetId="12" r:id="rId9"/>
    <sheet name="GEeI" sheetId="13" r:id="rId10"/>
    <sheet name="GPyE" sheetId="14" r:id="rId11"/>
    <sheet name="GTIC" sheetId="15" r:id="rId12"/>
    <sheet name="TOTAL" sheetId="16" r:id="rId13"/>
    <sheet name="PLAN ESTRATEGICO" sheetId="18" r:id="rId14"/>
    <sheet name="PLAN SECTORIAL " sheetId="20" r:id="rId15"/>
    <sheet name="Perso ben" sheetId="21" state="hidden" r:id="rId16"/>
    <sheet name="Perso cap" sheetId="22" state="hidden" r:id="rId17"/>
    <sheet name="Compras locales " sheetId="23" state="hidden" r:id="rId18"/>
    <sheet name="PND " sheetId="19" r:id="rId19"/>
    <sheet name="PROYECTOS" sheetId="24" r:id="rId20"/>
    <sheet name="MODELO INTEGRADO" sheetId="27" r:id="rId21"/>
  </sheets>
  <externalReferences>
    <externalReference r:id="rId22"/>
    <externalReference r:id="rId23"/>
  </externalReferences>
  <definedNames>
    <definedName name="_xlnm._FilterDatabase" localSheetId="14" hidden="1">'PLAN SECTORIAL '!$AI$1:$AI$61</definedName>
    <definedName name="AGOSTO12">#REF!</definedName>
    <definedName name="_xlnm.Print_Area" localSheetId="17">'Compras locales '!$B$2:$K$69</definedName>
    <definedName name="_xlnm.Print_Area" localSheetId="1">GAESPO!$A$3:$BC$27</definedName>
    <definedName name="_xlnm.Print_Area" localSheetId="8">GCyP!$A$3:$BC$31</definedName>
    <definedName name="_xlnm.Print_Area" localSheetId="2">GDS!$A$3:$BC$19</definedName>
    <definedName name="_xlnm.Print_Area" localSheetId="9">GEeI!$A$3:$BC$30</definedName>
    <definedName name="_xlnm.Print_Area" localSheetId="0">GEyP!$A$3:$BC$19</definedName>
    <definedName name="_xlnm.Print_Area" localSheetId="7">GGA!$A$3:$BC$29</definedName>
    <definedName name="_xlnm.Print_Area" localSheetId="6">GGF!$A$3:$BC$26</definedName>
    <definedName name="_xlnm.Print_Area" localSheetId="5">GGH!$A$3:$BC$36</definedName>
    <definedName name="_xlnm.Print_Area" localSheetId="10">GPyE!$A$3:$BD$30</definedName>
    <definedName name="_xlnm.Print_Area" localSheetId="11">GTIC!$A$3:$BC$20</definedName>
    <definedName name="_xlnm.Print_Area" localSheetId="20">'MODELO INTEGRADO'!$A$1:$W$38</definedName>
    <definedName name="_xlnm.Print_Area" localSheetId="4">OAJ!$A$3:$BC$23</definedName>
    <definedName name="_xlnm.Print_Area" localSheetId="3">OCI!$A$3:$BC$22</definedName>
    <definedName name="_xlnm.Print_Area" localSheetId="15">'Perso ben'!$B$2:$K$69</definedName>
    <definedName name="_xlnm.Print_Area" localSheetId="16">'Perso cap'!$B$2:$K$69</definedName>
    <definedName name="_xlnm.Print_Area" localSheetId="13">'PLAN ESTRATEGICO'!$A$1:$J$22</definedName>
    <definedName name="_xlnm.Print_Area" localSheetId="14">'PLAN SECTORIAL '!$A$1:$AI$61</definedName>
    <definedName name="ASD">#REF!</definedName>
    <definedName name="Atencion">#REF!</definedName>
    <definedName name="Bandas">!$A$6:$IV$6,!$A$8:$IV$8,!$A$10:$IV$10,!$A$12:$IV$12,!$A$14:$IV$14,!$A$16:$IV$16,!$A$18:$IV$18,!$A$20:$IV$20,!$A$22:$IV$22,!$A$24:$IV$24,!$A$26:$IV$26,!$A$28:$IV$28,!$A$30:$IV$30,!$A$32:$IV$32,!$A$34:$IV$34,!$A$36:$IV$36,!$A$38:$IV$38,!$A$40:$IV$40,!$A$42:$IV$42,!$A$44:$IV$44,!$A$46:$IV$46,!$A$48:$IV$48,!$A$50:$IV$50,!$A$52:$IV$52,!$A$54:$IV$54,!$A$56:$IV$56,!$A$58:$IV$58,!$A$60:$IV$60,!$A$62:$IV$62,!$A$64:$IV$64,!$A$66:$IV$66,!$A$68:$IV$68,!$A$70:$IV$70,!$A$72:$IV$72,!$A$74:$IV$74,!$A$76:$IV$76,!$A$78:$IV$78</definedName>
    <definedName name="BordersColorAccent">#REF!</definedName>
    <definedName name="BordersColorNormal">#REF!</definedName>
    <definedName name="BordersStyleAccent">#REF!</definedName>
    <definedName name="BordersStyleMajor">#REF!</definedName>
    <definedName name="CD">#REF!</definedName>
    <definedName name="cda">#REF!</definedName>
    <definedName name="Code">'[1]Base Notas'!$C$2:$C$546</definedName>
    <definedName name="copia">#REF!</definedName>
    <definedName name="copiar">#REF!</definedName>
    <definedName name="d">#REF!</definedName>
    <definedName name="DAE">#REF!</definedName>
    <definedName name="DIA">#REF!</definedName>
    <definedName name="E">#REF!</definedName>
    <definedName name="FR">#REF!</definedName>
    <definedName name="LedgerColumns">#REF!</definedName>
    <definedName name="LedgerOrientation">#REF!</definedName>
    <definedName name="LedgerSize">#REF!</definedName>
    <definedName name="lllllllllllll">#REF!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#REF!</definedName>
    <definedName name="mar">#REF!</definedName>
    <definedName name="NumberRows">#REF!</definedName>
    <definedName name="P">#REF!</definedName>
    <definedName name="RowBanding">#REF!</definedName>
    <definedName name="RowBandingColor">#REF!</definedName>
    <definedName name="Tics">#REF!</definedName>
    <definedName name="TICS1">#REF!</definedName>
    <definedName name="_xlnm.Print_Titles" localSheetId="17">'Compras locales '!$2:$2</definedName>
    <definedName name="_xlnm.Print_Titles" localSheetId="9">GEeI!$3:$3</definedName>
    <definedName name="_xlnm.Print_Titles" localSheetId="5">GGH!$3:$4</definedName>
    <definedName name="_xlnm.Print_Titles" localSheetId="10">GPyE!$3:$4</definedName>
    <definedName name="_xlnm.Print_Titles" localSheetId="20">'MODELO INTEGRADO'!$1:$3</definedName>
    <definedName name="_xlnm.Print_Titles" localSheetId="3">OCI!$3:$4</definedName>
    <definedName name="_xlnm.Print_Titles" localSheetId="15">'Perso ben'!$2:$2</definedName>
    <definedName name="_xlnm.Print_Titles" localSheetId="16">'Perso cap'!$2:$2</definedName>
    <definedName name="_xlnm.Print_Titles" localSheetId="14">'PLAN SECTORIAL '!$1:$1</definedName>
    <definedName name="u">#REF!</definedName>
    <definedName name="VistaPrevia">#REF!</definedName>
    <definedName name="ZX">#REF!</definedName>
  </definedNames>
  <calcPr calcId="152511"/>
</workbook>
</file>

<file path=xl/calcChain.xml><?xml version="1.0" encoding="utf-8"?>
<calcChain xmlns="http://schemas.openxmlformats.org/spreadsheetml/2006/main">
  <c r="BG27" i="12" l="1"/>
  <c r="BI19" i="10" l="1"/>
  <c r="BG19" i="10"/>
  <c r="BG12" i="3" l="1"/>
  <c r="BH12" i="3"/>
  <c r="AL2" i="20" l="1"/>
  <c r="U62" i="20"/>
  <c r="X62" i="20"/>
  <c r="AA62" i="20"/>
  <c r="P62" i="20"/>
  <c r="Y62" i="20"/>
  <c r="R61" i="20"/>
  <c r="P61" i="20"/>
  <c r="R37" i="20"/>
  <c r="P37" i="20"/>
  <c r="R35" i="20"/>
  <c r="P35" i="20"/>
  <c r="BD5" i="11"/>
  <c r="BF5" i="11"/>
  <c r="BG5" i="11"/>
  <c r="BD6" i="11"/>
  <c r="BF6" i="11"/>
  <c r="BG6" i="11"/>
  <c r="BD7" i="11"/>
  <c r="BF7" i="11"/>
  <c r="BG7" i="11"/>
  <c r="E27" i="11"/>
  <c r="BD18" i="10"/>
  <c r="BF18" i="10"/>
  <c r="BG18" i="10"/>
  <c r="E26" i="10"/>
  <c r="BD16" i="10"/>
  <c r="BF16" i="10"/>
  <c r="BG16" i="10"/>
  <c r="BD17" i="10"/>
  <c r="BF17" i="10"/>
  <c r="BG17" i="10"/>
  <c r="E25" i="10"/>
  <c r="BD13" i="10"/>
  <c r="BF13" i="10"/>
  <c r="BG13" i="10"/>
  <c r="BD14" i="10"/>
  <c r="BF14" i="10"/>
  <c r="BG14" i="10"/>
  <c r="BD15" i="10"/>
  <c r="BF15" i="10"/>
  <c r="BG15" i="10"/>
  <c r="E24" i="10"/>
  <c r="BD5" i="10"/>
  <c r="BF5" i="10"/>
  <c r="BG5" i="10"/>
  <c r="BD6" i="10"/>
  <c r="BF6" i="10"/>
  <c r="BG6" i="10"/>
  <c r="E22" i="10"/>
  <c r="BD7" i="10"/>
  <c r="BF7" i="10"/>
  <c r="BG7" i="10"/>
  <c r="BD8" i="10"/>
  <c r="BF8" i="10"/>
  <c r="BG8" i="10"/>
  <c r="BD9" i="10"/>
  <c r="BF9" i="10"/>
  <c r="BG9" i="10"/>
  <c r="BD10" i="10"/>
  <c r="BF10" i="10"/>
  <c r="BG10" i="10"/>
  <c r="BD11" i="10"/>
  <c r="BF11" i="10"/>
  <c r="BG11" i="10"/>
  <c r="BD12" i="10"/>
  <c r="BF12" i="10"/>
  <c r="BG12" i="10"/>
  <c r="E23" i="10"/>
  <c r="BD28" i="9"/>
  <c r="BF28" i="9"/>
  <c r="BG28" i="9"/>
  <c r="E40" i="9"/>
  <c r="BD27" i="9"/>
  <c r="BF27" i="9"/>
  <c r="BG27" i="9"/>
  <c r="E39" i="9"/>
  <c r="BD21" i="9"/>
  <c r="BF21" i="9"/>
  <c r="BG21" i="9"/>
  <c r="BD22" i="9"/>
  <c r="BF22" i="9"/>
  <c r="BG22" i="9"/>
  <c r="BD23" i="9"/>
  <c r="BF23" i="9"/>
  <c r="BG23" i="9"/>
  <c r="BD24" i="9"/>
  <c r="BF24" i="9"/>
  <c r="BG24" i="9"/>
  <c r="BD25" i="9"/>
  <c r="BF25" i="9"/>
  <c r="BG25" i="9"/>
  <c r="BD26" i="9"/>
  <c r="BF26" i="9"/>
  <c r="BG26" i="9"/>
  <c r="E38" i="9"/>
  <c r="BD18" i="9"/>
  <c r="BF18" i="9"/>
  <c r="BG18" i="9"/>
  <c r="BD19" i="9"/>
  <c r="BF19" i="9"/>
  <c r="BG19" i="9"/>
  <c r="BD20" i="9"/>
  <c r="BF20" i="9"/>
  <c r="BG20" i="9"/>
  <c r="E37" i="9"/>
  <c r="BD15" i="9"/>
  <c r="BF15" i="9"/>
  <c r="BG15" i="9"/>
  <c r="BD16" i="9"/>
  <c r="BF16" i="9"/>
  <c r="BG16" i="9"/>
  <c r="BD17" i="9"/>
  <c r="BF17" i="9"/>
  <c r="BG17" i="9"/>
  <c r="E36" i="9"/>
  <c r="BD12" i="9"/>
  <c r="BF12" i="9"/>
  <c r="BG12" i="9"/>
  <c r="BD13" i="9"/>
  <c r="BF13" i="9"/>
  <c r="BG13" i="9"/>
  <c r="BD14" i="9"/>
  <c r="BF14" i="9"/>
  <c r="BG14" i="9"/>
  <c r="E35" i="9"/>
  <c r="BD8" i="9"/>
  <c r="BF8" i="9" s="1"/>
  <c r="BG8" i="9" s="1"/>
  <c r="BD9" i="9"/>
  <c r="BF9" i="9"/>
  <c r="BG9" i="9"/>
  <c r="BD10" i="9"/>
  <c r="BF10" i="9"/>
  <c r="BG10" i="9"/>
  <c r="BD11" i="9"/>
  <c r="BF11" i="9"/>
  <c r="BG11" i="9"/>
  <c r="BD6" i="9"/>
  <c r="BF6" i="9"/>
  <c r="BG6" i="9"/>
  <c r="BD7" i="9"/>
  <c r="BF7" i="9"/>
  <c r="BG7" i="9"/>
  <c r="E33" i="9"/>
  <c r="BD5" i="9"/>
  <c r="BF5" i="9"/>
  <c r="BG5" i="9"/>
  <c r="E32" i="9"/>
  <c r="BD17" i="8"/>
  <c r="BF17" i="8"/>
  <c r="BG17" i="8"/>
  <c r="E28" i="8"/>
  <c r="BD14" i="8"/>
  <c r="BF14" i="8"/>
  <c r="BG14" i="8"/>
  <c r="BD15" i="8"/>
  <c r="BF15" i="8"/>
  <c r="BG15" i="8"/>
  <c r="BD16" i="8"/>
  <c r="BF16" i="8"/>
  <c r="BG16" i="8"/>
  <c r="E27" i="8"/>
  <c r="BD9" i="8"/>
  <c r="BF9" i="8"/>
  <c r="BG9" i="8"/>
  <c r="BD10" i="8"/>
  <c r="BF10" i="8"/>
  <c r="BG10" i="8"/>
  <c r="BD11" i="8"/>
  <c r="BF11" i="8"/>
  <c r="BG11" i="8"/>
  <c r="BD12" i="8"/>
  <c r="BF12" i="8"/>
  <c r="BG12" i="8"/>
  <c r="E25" i="8"/>
  <c r="BD7" i="8"/>
  <c r="BF7" i="8"/>
  <c r="BG7" i="8"/>
  <c r="BD8" i="8"/>
  <c r="BF8" i="8"/>
  <c r="BG8" i="8"/>
  <c r="E24" i="8"/>
  <c r="BD6" i="8"/>
  <c r="BF6" i="8"/>
  <c r="BG6" i="8"/>
  <c r="E23" i="8"/>
  <c r="BD5" i="8"/>
  <c r="BF5" i="8"/>
  <c r="BG5" i="8"/>
  <c r="E22" i="8"/>
  <c r="BD13" i="7"/>
  <c r="BF13" i="7"/>
  <c r="BG13" i="7"/>
  <c r="BD14" i="7"/>
  <c r="BF14" i="7" s="1"/>
  <c r="BG14" i="7" s="1"/>
  <c r="E28" i="7" s="1"/>
  <c r="E42" i="7" s="1"/>
  <c r="BD11" i="7"/>
  <c r="BF11" i="7"/>
  <c r="BG11" i="7"/>
  <c r="BD12" i="7"/>
  <c r="BF12" i="7"/>
  <c r="BG12" i="7" s="1"/>
  <c r="E27" i="7" s="1"/>
  <c r="E41" i="7" s="1"/>
  <c r="BD9" i="7"/>
  <c r="BF9" i="7"/>
  <c r="BG9" i="7"/>
  <c r="BD10" i="7"/>
  <c r="BF10" i="7"/>
  <c r="BG10" i="7"/>
  <c r="E26" i="7"/>
  <c r="BD7" i="7"/>
  <c r="BF7" i="7" s="1"/>
  <c r="BG7" i="7" s="1"/>
  <c r="BD8" i="7"/>
  <c r="BF8" i="7" s="1"/>
  <c r="BG8" i="7" s="1"/>
  <c r="BD5" i="7"/>
  <c r="BF5" i="7"/>
  <c r="BG5" i="7"/>
  <c r="BD6" i="7"/>
  <c r="BF6" i="7"/>
  <c r="BG6" i="7"/>
  <c r="E24" i="7"/>
  <c r="BD16" i="6"/>
  <c r="BF16" i="6"/>
  <c r="BG16" i="6"/>
  <c r="BD17" i="6"/>
  <c r="BF17" i="6"/>
  <c r="BG17" i="6"/>
  <c r="E26" i="6"/>
  <c r="BD14" i="6"/>
  <c r="BF14" i="6"/>
  <c r="BG14" i="6"/>
  <c r="BD15" i="6"/>
  <c r="BF15" i="6"/>
  <c r="BG15" i="6"/>
  <c r="E25" i="6"/>
  <c r="BD9" i="6"/>
  <c r="BF9" i="6"/>
  <c r="BG9" i="6"/>
  <c r="BD10" i="6"/>
  <c r="BF10" i="6"/>
  <c r="BG10" i="6"/>
  <c r="BD11" i="6"/>
  <c r="BF11" i="6"/>
  <c r="BG11" i="6"/>
  <c r="BD12" i="6"/>
  <c r="BF12" i="6"/>
  <c r="BG12" i="6"/>
  <c r="BD13" i="6"/>
  <c r="BF13" i="6"/>
  <c r="BG13" i="6"/>
  <c r="E24" i="6"/>
  <c r="BD5" i="6"/>
  <c r="BF5" i="6"/>
  <c r="BG5" i="6"/>
  <c r="BD6" i="6"/>
  <c r="BF6" i="6"/>
  <c r="BG6" i="6"/>
  <c r="BD7" i="6"/>
  <c r="BF7" i="6"/>
  <c r="BG7" i="6"/>
  <c r="BD8" i="6"/>
  <c r="BF8" i="6"/>
  <c r="BG8" i="6"/>
  <c r="E23" i="6"/>
  <c r="BD17" i="3"/>
  <c r="BF17" i="3"/>
  <c r="BG17" i="3"/>
  <c r="E34" i="3"/>
  <c r="BD18" i="3"/>
  <c r="BF18" i="3"/>
  <c r="BG18" i="3"/>
  <c r="BD19" i="3"/>
  <c r="BF19" i="3"/>
  <c r="BG19" i="3"/>
  <c r="E35" i="3"/>
  <c r="E33" i="3"/>
  <c r="E31" i="3"/>
  <c r="E30" i="3"/>
  <c r="BD12" i="3"/>
  <c r="BF12" i="3"/>
  <c r="E29" i="3"/>
  <c r="BD5" i="3"/>
  <c r="BF5" i="3"/>
  <c r="BG5" i="3"/>
  <c r="E28" i="3"/>
  <c r="E32" i="1"/>
  <c r="BD18" i="1"/>
  <c r="BF18" i="1"/>
  <c r="BG18" i="1"/>
  <c r="BD19" i="1"/>
  <c r="BF19" i="1"/>
  <c r="BG19" i="1"/>
  <c r="E33" i="1"/>
  <c r="BD16" i="1"/>
  <c r="BF16" i="1"/>
  <c r="BG16" i="1"/>
  <c r="E31" i="1"/>
  <c r="BD15" i="1"/>
  <c r="BF15" i="1"/>
  <c r="BG15" i="1"/>
  <c r="E30" i="1"/>
  <c r="E29" i="1"/>
  <c r="E28" i="1"/>
  <c r="E27" i="1"/>
  <c r="BD5" i="1"/>
  <c r="BF5" i="1"/>
  <c r="BG5" i="1"/>
  <c r="E26" i="1"/>
  <c r="BI6" i="15"/>
  <c r="BI7" i="15"/>
  <c r="BI8" i="15"/>
  <c r="BI9" i="15"/>
  <c r="BI10" i="15"/>
  <c r="BI11" i="15"/>
  <c r="BI12" i="15"/>
  <c r="BI13" i="15"/>
  <c r="BI14" i="15"/>
  <c r="BI15" i="15"/>
  <c r="BI5" i="15"/>
  <c r="BJ6" i="14"/>
  <c r="BJ7" i="14"/>
  <c r="BJ8" i="14"/>
  <c r="BJ9" i="14"/>
  <c r="BJ10" i="14"/>
  <c r="BJ11" i="14"/>
  <c r="BJ12" i="14"/>
  <c r="BJ13" i="14"/>
  <c r="BJ14" i="14"/>
  <c r="BJ15" i="14"/>
  <c r="BJ16" i="14"/>
  <c r="BJ17" i="14"/>
  <c r="BJ18" i="14"/>
  <c r="BJ19" i="14"/>
  <c r="BJ20" i="14"/>
  <c r="BJ21" i="14"/>
  <c r="BJ22" i="14"/>
  <c r="BJ23" i="14"/>
  <c r="BJ24" i="14"/>
  <c r="BJ25" i="14"/>
  <c r="BJ26" i="14"/>
  <c r="BJ27" i="14"/>
  <c r="BJ28" i="14"/>
  <c r="BJ29" i="14"/>
  <c r="BJ30" i="14"/>
  <c r="BJ5" i="14"/>
  <c r="BI5" i="13"/>
  <c r="BI6" i="13"/>
  <c r="BI7" i="13"/>
  <c r="BI8" i="13"/>
  <c r="BI9" i="13"/>
  <c r="BI10" i="13"/>
  <c r="BI11" i="13"/>
  <c r="BI12" i="13"/>
  <c r="BI13" i="13"/>
  <c r="BI14" i="13"/>
  <c r="BI15" i="13"/>
  <c r="BI16" i="13"/>
  <c r="BI17" i="13"/>
  <c r="BI18" i="13"/>
  <c r="BI19" i="13"/>
  <c r="BI20" i="13"/>
  <c r="BI21" i="13"/>
  <c r="BI22" i="13"/>
  <c r="BI23" i="13"/>
  <c r="BI24" i="13"/>
  <c r="BI25" i="13"/>
  <c r="BI26" i="13"/>
  <c r="BI27" i="13"/>
  <c r="BI28" i="13"/>
  <c r="BI4" i="13"/>
  <c r="BI6" i="12"/>
  <c r="BI7" i="12"/>
  <c r="BI8" i="12"/>
  <c r="BI9" i="12"/>
  <c r="BI10" i="12"/>
  <c r="BI11" i="12"/>
  <c r="BI12" i="12"/>
  <c r="BI13" i="12"/>
  <c r="BI14" i="12"/>
  <c r="BI15" i="12"/>
  <c r="BI16" i="12"/>
  <c r="BI17" i="12"/>
  <c r="BI18" i="12"/>
  <c r="BI19" i="12"/>
  <c r="BI20" i="12"/>
  <c r="BI21" i="12"/>
  <c r="BI22" i="12"/>
  <c r="BI23" i="12"/>
  <c r="BI24" i="12"/>
  <c r="BI5" i="12"/>
  <c r="BD5" i="12"/>
  <c r="BF5" i="12"/>
  <c r="BG5" i="12"/>
  <c r="BD6" i="12"/>
  <c r="BF6" i="12"/>
  <c r="BG6" i="12"/>
  <c r="BD7" i="12"/>
  <c r="BF7" i="12"/>
  <c r="BG7" i="12"/>
  <c r="BD8" i="12"/>
  <c r="BF8" i="12"/>
  <c r="BG8" i="12"/>
  <c r="BD9" i="12"/>
  <c r="BF9" i="12"/>
  <c r="BG9" i="12"/>
  <c r="BD10" i="12"/>
  <c r="BF10" i="12"/>
  <c r="BG10" i="12"/>
  <c r="BD11" i="12"/>
  <c r="BF11" i="12"/>
  <c r="BG11" i="12"/>
  <c r="BD12" i="12"/>
  <c r="BF12" i="12"/>
  <c r="BG12" i="12"/>
  <c r="BD13" i="12"/>
  <c r="BF13" i="12"/>
  <c r="BG13" i="12"/>
  <c r="BD14" i="12"/>
  <c r="BF14" i="12"/>
  <c r="BG14" i="12"/>
  <c r="BD15" i="12"/>
  <c r="BF15" i="12"/>
  <c r="BG15" i="12"/>
  <c r="BD16" i="12"/>
  <c r="BF16" i="12"/>
  <c r="BG16" i="12"/>
  <c r="BD17" i="12"/>
  <c r="BF17" i="12"/>
  <c r="BG17" i="12"/>
  <c r="BD18" i="12"/>
  <c r="BF18" i="12"/>
  <c r="BG18" i="12"/>
  <c r="BD19" i="12"/>
  <c r="BF19" i="12"/>
  <c r="BG19" i="12"/>
  <c r="BD20" i="12"/>
  <c r="BF20" i="12"/>
  <c r="BG20" i="12"/>
  <c r="BD21" i="12"/>
  <c r="BF21" i="12"/>
  <c r="BG21" i="12"/>
  <c r="BD22" i="12"/>
  <c r="BF22" i="12"/>
  <c r="BG22" i="12"/>
  <c r="BD23" i="12"/>
  <c r="BF23" i="12"/>
  <c r="BG23" i="12"/>
  <c r="BD24" i="12"/>
  <c r="BF24" i="12"/>
  <c r="BG24" i="12"/>
  <c r="BG25" i="12"/>
  <c r="BI6" i="11"/>
  <c r="BI7" i="11"/>
  <c r="BI8" i="11"/>
  <c r="BI9" i="11"/>
  <c r="BI10" i="11"/>
  <c r="BI11" i="11"/>
  <c r="BI14" i="11"/>
  <c r="BI15" i="11"/>
  <c r="BI16" i="11"/>
  <c r="BI17" i="11"/>
  <c r="BI18" i="11"/>
  <c r="BI19" i="11"/>
  <c r="BI20" i="11"/>
  <c r="BI21" i="11"/>
  <c r="BI23" i="11"/>
  <c r="BI24" i="11"/>
  <c r="BI5" i="11"/>
  <c r="BI6" i="10"/>
  <c r="BI7" i="10"/>
  <c r="BI8" i="10"/>
  <c r="BI9" i="10"/>
  <c r="BI10" i="10"/>
  <c r="BI11" i="10"/>
  <c r="BI12" i="10"/>
  <c r="BI13" i="10"/>
  <c r="BI14" i="10"/>
  <c r="BI15" i="10"/>
  <c r="BI16" i="10"/>
  <c r="BI17" i="10"/>
  <c r="BI18" i="10"/>
  <c r="BI5" i="10"/>
  <c r="BI6" i="9"/>
  <c r="BI7" i="9"/>
  <c r="BI8" i="9"/>
  <c r="BI9" i="9"/>
  <c r="BI10" i="9"/>
  <c r="BI11" i="9"/>
  <c r="BI12" i="9"/>
  <c r="BI13" i="9"/>
  <c r="BI14" i="9"/>
  <c r="BI15" i="9"/>
  <c r="BI16" i="9"/>
  <c r="BI17" i="9"/>
  <c r="BI18" i="9"/>
  <c r="BI19" i="9"/>
  <c r="BI20" i="9"/>
  <c r="BI21" i="9"/>
  <c r="BI22" i="9"/>
  <c r="BI23" i="9"/>
  <c r="BI24" i="9"/>
  <c r="BI25" i="9"/>
  <c r="BI26" i="9"/>
  <c r="BI27" i="9"/>
  <c r="BI28" i="9"/>
  <c r="BI5" i="9"/>
  <c r="BI6" i="8"/>
  <c r="BI7" i="8"/>
  <c r="BI8" i="8"/>
  <c r="BI9" i="8"/>
  <c r="BI10" i="8"/>
  <c r="BI11" i="8"/>
  <c r="BI12" i="8"/>
  <c r="BI13" i="8"/>
  <c r="BI14" i="8"/>
  <c r="BI15" i="8"/>
  <c r="BI16" i="8"/>
  <c r="BI17" i="8"/>
  <c r="BI5" i="8"/>
  <c r="BI15" i="7"/>
  <c r="BI6" i="7"/>
  <c r="BI7" i="7"/>
  <c r="BI8" i="7"/>
  <c r="BI9" i="7"/>
  <c r="BI10" i="7"/>
  <c r="BI11" i="7"/>
  <c r="BI12" i="7"/>
  <c r="BI13" i="7"/>
  <c r="BI14" i="7"/>
  <c r="BI5" i="7"/>
  <c r="BI5" i="1"/>
  <c r="BG20" i="1"/>
  <c r="BI20" i="1"/>
  <c r="BI6" i="1"/>
  <c r="BI17" i="6"/>
  <c r="BI18" i="6"/>
  <c r="BI6" i="6"/>
  <c r="BI7" i="6"/>
  <c r="BI8" i="6"/>
  <c r="BI9" i="6"/>
  <c r="BI10" i="6"/>
  <c r="BI11" i="6"/>
  <c r="BI12" i="6"/>
  <c r="BI13" i="6"/>
  <c r="BI14" i="6"/>
  <c r="BI15" i="6"/>
  <c r="BI16" i="6"/>
  <c r="BI5" i="6"/>
  <c r="BI5" i="3"/>
  <c r="BI6" i="3"/>
  <c r="BI8" i="3"/>
  <c r="BI9" i="3"/>
  <c r="BI10" i="3"/>
  <c r="BI12" i="3"/>
  <c r="BI13" i="3"/>
  <c r="BI14" i="3"/>
  <c r="BI15" i="3"/>
  <c r="BI16" i="3"/>
  <c r="BI17" i="3"/>
  <c r="BI18" i="3"/>
  <c r="BI19" i="3"/>
  <c r="BI8" i="1"/>
  <c r="BI9" i="1"/>
  <c r="BI11" i="1"/>
  <c r="BI12" i="1"/>
  <c r="BI13" i="1"/>
  <c r="BI14" i="1"/>
  <c r="BI15" i="1"/>
  <c r="BI16" i="1"/>
  <c r="BI17" i="1"/>
  <c r="BI18" i="1"/>
  <c r="BI19" i="1"/>
  <c r="BH5" i="11"/>
  <c r="U32" i="27"/>
  <c r="T32" i="27"/>
  <c r="S32" i="27"/>
  <c r="R32" i="27"/>
  <c r="U31" i="27"/>
  <c r="T31" i="27"/>
  <c r="S31" i="27"/>
  <c r="R31" i="27"/>
  <c r="U30" i="27"/>
  <c r="T30" i="27"/>
  <c r="S30" i="27"/>
  <c r="R30" i="27"/>
  <c r="R29" i="27"/>
  <c r="S29" i="27"/>
  <c r="T29" i="27"/>
  <c r="U29" i="27"/>
  <c r="U28" i="27"/>
  <c r="T28" i="27"/>
  <c r="S28" i="27"/>
  <c r="R28" i="27"/>
  <c r="U27" i="27"/>
  <c r="T27" i="27"/>
  <c r="S27" i="27"/>
  <c r="R27" i="27"/>
  <c r="U26" i="27"/>
  <c r="T26" i="27"/>
  <c r="S26" i="27"/>
  <c r="R26" i="27"/>
  <c r="U25" i="27"/>
  <c r="T25" i="27"/>
  <c r="R25" i="27"/>
  <c r="S25" i="27"/>
  <c r="U24" i="27"/>
  <c r="T24" i="27"/>
  <c r="S24" i="27"/>
  <c r="R24" i="27"/>
  <c r="U23" i="27"/>
  <c r="T23" i="27"/>
  <c r="S23" i="27"/>
  <c r="R23" i="27"/>
  <c r="V22" i="27"/>
  <c r="U21" i="27"/>
  <c r="T21" i="27"/>
  <c r="S21" i="27"/>
  <c r="R21" i="27"/>
  <c r="V21" i="27"/>
  <c r="Q21" i="27"/>
  <c r="S19" i="27"/>
  <c r="T19" i="27"/>
  <c r="U19" i="27"/>
  <c r="R19" i="27"/>
  <c r="Q33" i="27"/>
  <c r="Q34" i="27"/>
  <c r="Q35" i="27"/>
  <c r="Q36" i="27"/>
  <c r="Q37" i="27"/>
  <c r="Q38" i="27"/>
  <c r="S13" i="27"/>
  <c r="T13" i="27"/>
  <c r="U13" i="27"/>
  <c r="R13" i="27"/>
  <c r="S12" i="27"/>
  <c r="T12" i="27"/>
  <c r="U12" i="27"/>
  <c r="R12" i="27"/>
  <c r="S4" i="27"/>
  <c r="T4" i="27"/>
  <c r="U4" i="27"/>
  <c r="R4" i="27"/>
  <c r="U11" i="19"/>
  <c r="U12" i="19"/>
  <c r="U13" i="19"/>
  <c r="S9" i="19"/>
  <c r="Q9" i="19"/>
  <c r="O9" i="19"/>
  <c r="M9" i="19"/>
  <c r="N9" i="19"/>
  <c r="P9" i="19"/>
  <c r="R9" i="19"/>
  <c r="S8" i="19"/>
  <c r="U9" i="19"/>
  <c r="Q8" i="19"/>
  <c r="O8" i="19"/>
  <c r="M8" i="19"/>
  <c r="U8" i="19"/>
  <c r="S7" i="19"/>
  <c r="Q7" i="19"/>
  <c r="O7" i="19"/>
  <c r="M7" i="19"/>
  <c r="U7" i="19" s="1"/>
  <c r="V3" i="19"/>
  <c r="U3" i="19"/>
  <c r="AA61" i="20"/>
  <c r="X61" i="20"/>
  <c r="U61" i="20"/>
  <c r="X9" i="20"/>
  <c r="X10" i="20"/>
  <c r="X16" i="20"/>
  <c r="X18" i="20"/>
  <c r="X19" i="20"/>
  <c r="X20" i="20"/>
  <c r="X21" i="20"/>
  <c r="X22" i="20"/>
  <c r="X23" i="20"/>
  <c r="X24" i="20"/>
  <c r="X25" i="20"/>
  <c r="X26" i="20"/>
  <c r="X27" i="20"/>
  <c r="X28" i="20"/>
  <c r="X29" i="20"/>
  <c r="X30" i="20"/>
  <c r="X31" i="20"/>
  <c r="X32" i="20"/>
  <c r="X33" i="20"/>
  <c r="X38" i="20"/>
  <c r="X39" i="20"/>
  <c r="X40" i="20"/>
  <c r="X41" i="20"/>
  <c r="X42" i="20"/>
  <c r="X43" i="20"/>
  <c r="X44" i="20"/>
  <c r="X45" i="20"/>
  <c r="X46" i="20"/>
  <c r="X47" i="20"/>
  <c r="X48" i="20"/>
  <c r="X49" i="20"/>
  <c r="X50" i="20"/>
  <c r="X51" i="20"/>
  <c r="X52" i="20"/>
  <c r="X53" i="20"/>
  <c r="X54" i="20"/>
  <c r="X55" i="20"/>
  <c r="X56" i="20"/>
  <c r="X57" i="20"/>
  <c r="X58" i="20"/>
  <c r="X59" i="20"/>
  <c r="X60" i="20"/>
  <c r="U9" i="20"/>
  <c r="U10" i="20"/>
  <c r="U16" i="20"/>
  <c r="U18" i="20"/>
  <c r="U19" i="20"/>
  <c r="U20" i="20"/>
  <c r="U21" i="20"/>
  <c r="U22" i="20"/>
  <c r="U23" i="20"/>
  <c r="U24" i="20"/>
  <c r="U25" i="20"/>
  <c r="U26" i="20"/>
  <c r="U27" i="20"/>
  <c r="U28" i="20"/>
  <c r="U29" i="20"/>
  <c r="U30" i="20"/>
  <c r="U31" i="20"/>
  <c r="U32" i="20"/>
  <c r="U33" i="20"/>
  <c r="U38" i="20"/>
  <c r="U39" i="20"/>
  <c r="U40" i="20"/>
  <c r="U41" i="20"/>
  <c r="U42" i="20"/>
  <c r="U43" i="20"/>
  <c r="U44" i="20"/>
  <c r="U45" i="20"/>
  <c r="U46" i="20"/>
  <c r="U47" i="20"/>
  <c r="U48" i="20"/>
  <c r="U49" i="20"/>
  <c r="U50" i="20"/>
  <c r="U51" i="20"/>
  <c r="U52" i="20"/>
  <c r="U53" i="20"/>
  <c r="U54" i="20"/>
  <c r="U55" i="20"/>
  <c r="U56" i="20"/>
  <c r="U57" i="20"/>
  <c r="U58" i="20"/>
  <c r="U59" i="20"/>
  <c r="U60" i="20"/>
  <c r="N37" i="20"/>
  <c r="O37" i="20"/>
  <c r="M37" i="20"/>
  <c r="R36" i="20"/>
  <c r="P36" i="20"/>
  <c r="AL36" i="20"/>
  <c r="AN36" i="20"/>
  <c r="N34" i="20"/>
  <c r="O34" i="20"/>
  <c r="M34" i="20"/>
  <c r="N11" i="20"/>
  <c r="O11" i="20"/>
  <c r="M11" i="20"/>
  <c r="N2" i="20"/>
  <c r="O2" i="20"/>
  <c r="M2" i="20"/>
  <c r="J56" i="22"/>
  <c r="J52" i="22"/>
  <c r="J50" i="22"/>
  <c r="J48" i="22"/>
  <c r="J43" i="22"/>
  <c r="J42" i="22"/>
  <c r="J41" i="22"/>
  <c r="J37" i="22"/>
  <c r="J36" i="22"/>
  <c r="J35" i="22"/>
  <c r="J34" i="22"/>
  <c r="J28" i="22"/>
  <c r="H28" i="22"/>
  <c r="K15" i="22"/>
  <c r="F28" i="22"/>
  <c r="K13" i="22"/>
  <c r="C28" i="22"/>
  <c r="H16" i="22"/>
  <c r="L20" i="22"/>
  <c r="M35" i="20"/>
  <c r="J26" i="22"/>
  <c r="K18" i="22"/>
  <c r="H17" i="22"/>
  <c r="K16" i="22"/>
  <c r="K14" i="22"/>
  <c r="K12" i="22"/>
  <c r="K17" i="21"/>
  <c r="K16" i="21"/>
  <c r="K15" i="21"/>
  <c r="K14" i="21"/>
  <c r="K13" i="21"/>
  <c r="K12" i="21"/>
  <c r="K17" i="22"/>
  <c r="N18" i="22"/>
  <c r="M15" i="21"/>
  <c r="M20" i="22"/>
  <c r="N20" i="22"/>
  <c r="O35" i="20"/>
  <c r="AL35" i="20"/>
  <c r="AN35" i="20"/>
  <c r="N35" i="20"/>
  <c r="M86" i="20"/>
  <c r="Y63" i="20"/>
  <c r="AL61" i="20"/>
  <c r="AN61" i="20"/>
  <c r="AA60" i="20"/>
  <c r="Y60" i="20"/>
  <c r="AA59" i="20"/>
  <c r="Y59" i="20"/>
  <c r="AA58" i="20"/>
  <c r="Y58" i="20"/>
  <c r="AA57" i="20"/>
  <c r="Y57" i="20"/>
  <c r="AA56" i="20"/>
  <c r="Y56" i="20"/>
  <c r="AA55" i="20"/>
  <c r="Y55" i="20"/>
  <c r="AA54" i="20"/>
  <c r="Y54" i="20"/>
  <c r="AA53" i="20"/>
  <c r="Y53" i="20"/>
  <c r="AA52" i="20"/>
  <c r="Y52" i="20"/>
  <c r="AA51" i="20"/>
  <c r="Y51" i="20"/>
  <c r="AA50" i="20"/>
  <c r="Y50" i="20"/>
  <c r="AA49" i="20"/>
  <c r="Y49" i="20"/>
  <c r="AA48" i="20"/>
  <c r="Y48" i="20"/>
  <c r="AA47" i="20"/>
  <c r="Y47" i="20"/>
  <c r="AA46" i="20"/>
  <c r="Y46" i="20"/>
  <c r="AA45" i="20"/>
  <c r="Y45" i="20"/>
  <c r="AA44" i="20"/>
  <c r="Y44" i="20"/>
  <c r="AA43" i="20"/>
  <c r="Y43" i="20"/>
  <c r="AA42" i="20"/>
  <c r="Y42" i="20"/>
  <c r="K42" i="20"/>
  <c r="AA41" i="20"/>
  <c r="Y41" i="20"/>
  <c r="AA40" i="20"/>
  <c r="Y40" i="20"/>
  <c r="AA39" i="20"/>
  <c r="Y39" i="20"/>
  <c r="AA38" i="20"/>
  <c r="Y38" i="20"/>
  <c r="AA33" i="20"/>
  <c r="Y33" i="20"/>
  <c r="AA32" i="20"/>
  <c r="Y32" i="20"/>
  <c r="AA31" i="20"/>
  <c r="Y31" i="20"/>
  <c r="AA30" i="20"/>
  <c r="Y30" i="20"/>
  <c r="AA29" i="20"/>
  <c r="Y29" i="20"/>
  <c r="AA28" i="20"/>
  <c r="Y28" i="20"/>
  <c r="AA27" i="20"/>
  <c r="Y27" i="20"/>
  <c r="AA26" i="20"/>
  <c r="Y26" i="20"/>
  <c r="AA25" i="20"/>
  <c r="Y25" i="20"/>
  <c r="AA24" i="20"/>
  <c r="Y24" i="20"/>
  <c r="AA23" i="20"/>
  <c r="Y23" i="20"/>
  <c r="AA22" i="20"/>
  <c r="Y22" i="20"/>
  <c r="AA21" i="20"/>
  <c r="Y21" i="20"/>
  <c r="AA20" i="20"/>
  <c r="Y20" i="20"/>
  <c r="AA19" i="20"/>
  <c r="Y19" i="20"/>
  <c r="AA18" i="20"/>
  <c r="Y18" i="20"/>
  <c r="AA17" i="20"/>
  <c r="Y17" i="20"/>
  <c r="AA16" i="20"/>
  <c r="Y16" i="20"/>
  <c r="AA15" i="20"/>
  <c r="Y15" i="20"/>
  <c r="AA14" i="20"/>
  <c r="Y14" i="20"/>
  <c r="AA13" i="20"/>
  <c r="Y13" i="20"/>
  <c r="AA12" i="20"/>
  <c r="Y12" i="20"/>
  <c r="AA10" i="20"/>
  <c r="Y10" i="20"/>
  <c r="AA9" i="20"/>
  <c r="Y9" i="20"/>
  <c r="AA8" i="20"/>
  <c r="Y8" i="20"/>
  <c r="AA7" i="20"/>
  <c r="Y7" i="20"/>
  <c r="AA6" i="20"/>
  <c r="Y6" i="20"/>
  <c r="AA5" i="20"/>
  <c r="Y5" i="20"/>
  <c r="AA4" i="20"/>
  <c r="Y4" i="20"/>
  <c r="AA3" i="20"/>
  <c r="Y3" i="20"/>
  <c r="P45" i="20"/>
  <c r="AL45" i="20"/>
  <c r="AN45" i="20"/>
  <c r="P51" i="20"/>
  <c r="AL51" i="20"/>
  <c r="AN51" i="20"/>
  <c r="P57" i="20"/>
  <c r="AL57" i="20"/>
  <c r="AN57" i="20"/>
  <c r="P24" i="20"/>
  <c r="AL24" i="20"/>
  <c r="AN24" i="20"/>
  <c r="P25" i="20"/>
  <c r="AL25" i="20"/>
  <c r="AN25" i="20"/>
  <c r="P31" i="20"/>
  <c r="AL31" i="20"/>
  <c r="AN31" i="20"/>
  <c r="P41" i="20"/>
  <c r="AL41" i="20"/>
  <c r="AN41" i="20"/>
  <c r="P30" i="20"/>
  <c r="AL30" i="20"/>
  <c r="AN30" i="20"/>
  <c r="P58" i="20"/>
  <c r="AL58" i="20"/>
  <c r="AN58" i="20"/>
  <c r="P47" i="20"/>
  <c r="AL47" i="20"/>
  <c r="AN47" i="20"/>
  <c r="P53" i="20"/>
  <c r="AL53" i="20"/>
  <c r="AN53" i="20"/>
  <c r="P59" i="20"/>
  <c r="AL59" i="20"/>
  <c r="AN59" i="20"/>
  <c r="P19" i="20"/>
  <c r="AL19" i="20"/>
  <c r="AN19" i="20"/>
  <c r="P20" i="20"/>
  <c r="AL20" i="20"/>
  <c r="AN20" i="20"/>
  <c r="P26" i="20"/>
  <c r="AL26" i="20"/>
  <c r="AN26" i="20"/>
  <c r="P32" i="20"/>
  <c r="AL32" i="20"/>
  <c r="AN32" i="20"/>
  <c r="P40" i="20"/>
  <c r="AL40" i="20"/>
  <c r="AN40" i="20"/>
  <c r="P46" i="20"/>
  <c r="AL46" i="20"/>
  <c r="AN46" i="20"/>
  <c r="P42" i="20"/>
  <c r="AL42" i="20"/>
  <c r="AN42" i="20"/>
  <c r="P48" i="20"/>
  <c r="AL48" i="20"/>
  <c r="AN48" i="20"/>
  <c r="P54" i="20"/>
  <c r="AL54" i="20"/>
  <c r="AN54" i="20"/>
  <c r="P60" i="20"/>
  <c r="AL60" i="20"/>
  <c r="AN60" i="20"/>
  <c r="P18" i="20"/>
  <c r="AL18" i="20"/>
  <c r="AN18" i="20"/>
  <c r="P52" i="20"/>
  <c r="AL52" i="20"/>
  <c r="AN52" i="20"/>
  <c r="P21" i="20"/>
  <c r="AL21" i="20"/>
  <c r="AN21" i="20"/>
  <c r="P27" i="20"/>
  <c r="AL27" i="20"/>
  <c r="AN27" i="20"/>
  <c r="P33" i="20"/>
  <c r="AL33" i="20"/>
  <c r="AN33" i="20"/>
  <c r="P9" i="20"/>
  <c r="AL9" i="20"/>
  <c r="AN9" i="20"/>
  <c r="P43" i="20"/>
  <c r="AL43" i="20"/>
  <c r="AN43" i="20"/>
  <c r="P49" i="20"/>
  <c r="AL49" i="20"/>
  <c r="AN49" i="20"/>
  <c r="P55" i="20"/>
  <c r="AL55" i="20"/>
  <c r="AN55" i="20"/>
  <c r="P16" i="20"/>
  <c r="AL16" i="20"/>
  <c r="AN16" i="20"/>
  <c r="P22" i="20"/>
  <c r="AL22" i="20"/>
  <c r="AN22" i="20"/>
  <c r="P28" i="20"/>
  <c r="AL28" i="20"/>
  <c r="AN28" i="20"/>
  <c r="P38" i="20"/>
  <c r="AL38" i="20"/>
  <c r="AN38" i="20"/>
  <c r="P10" i="20"/>
  <c r="AL10" i="20"/>
  <c r="AN10" i="20"/>
  <c r="P44" i="20"/>
  <c r="AL44" i="20"/>
  <c r="AN44" i="20"/>
  <c r="P50" i="20"/>
  <c r="AL50" i="20"/>
  <c r="AN50" i="20"/>
  <c r="P56" i="20"/>
  <c r="AL56" i="20"/>
  <c r="AN56" i="20"/>
  <c r="P23" i="20"/>
  <c r="AL23" i="20"/>
  <c r="AN23" i="20"/>
  <c r="P29" i="20"/>
  <c r="AL29" i="20"/>
  <c r="AN29" i="20"/>
  <c r="P39" i="20"/>
  <c r="AL39" i="20"/>
  <c r="AN39" i="20"/>
  <c r="K16" i="18"/>
  <c r="K3" i="18"/>
  <c r="K4" i="18"/>
  <c r="K5" i="18"/>
  <c r="K6" i="18"/>
  <c r="K7" i="18"/>
  <c r="K8" i="18"/>
  <c r="K9" i="18"/>
  <c r="K10" i="18"/>
  <c r="K11" i="18"/>
  <c r="K12" i="18"/>
  <c r="K13" i="18"/>
  <c r="K14" i="18"/>
  <c r="K15" i="18"/>
  <c r="K17" i="18"/>
  <c r="K18" i="18"/>
  <c r="K2" i="18"/>
  <c r="O18" i="18"/>
  <c r="U20" i="27"/>
  <c r="N18" i="18"/>
  <c r="M18" i="18"/>
  <c r="L18" i="18"/>
  <c r="R20" i="27"/>
  <c r="O15" i="18"/>
  <c r="U17" i="27"/>
  <c r="N15" i="18"/>
  <c r="P15" i="18" s="1"/>
  <c r="M15" i="18"/>
  <c r="L15" i="18"/>
  <c r="R17" i="27"/>
  <c r="O14" i="18"/>
  <c r="N14" i="18"/>
  <c r="M14" i="18"/>
  <c r="L14" i="18"/>
  <c r="L13" i="18"/>
  <c r="O13" i="18"/>
  <c r="N13" i="18"/>
  <c r="M13" i="18"/>
  <c r="O12" i="18"/>
  <c r="N12" i="18"/>
  <c r="M12" i="18"/>
  <c r="L12" i="18"/>
  <c r="M9" i="18"/>
  <c r="O9" i="18"/>
  <c r="U11" i="27"/>
  <c r="N9" i="18"/>
  <c r="L9" i="18"/>
  <c r="R11" i="27" s="1"/>
  <c r="O8" i="18"/>
  <c r="U10" i="27"/>
  <c r="N8" i="18"/>
  <c r="M8" i="18"/>
  <c r="L8" i="18"/>
  <c r="R10" i="27"/>
  <c r="O7" i="18"/>
  <c r="U9" i="27"/>
  <c r="N7" i="18"/>
  <c r="M7" i="18"/>
  <c r="L7" i="18"/>
  <c r="R9" i="27"/>
  <c r="L6" i="18"/>
  <c r="O6" i="18"/>
  <c r="U8" i="27"/>
  <c r="N6" i="18"/>
  <c r="M6" i="18"/>
  <c r="O5" i="18"/>
  <c r="U7" i="27"/>
  <c r="N5" i="18"/>
  <c r="M5" i="18"/>
  <c r="L5" i="18"/>
  <c r="R7" i="27"/>
  <c r="O4" i="18"/>
  <c r="U6" i="27"/>
  <c r="N4" i="18"/>
  <c r="M4" i="18"/>
  <c r="L3" i="18"/>
  <c r="L4" i="18"/>
  <c r="R6" i="27"/>
  <c r="O3" i="18"/>
  <c r="N3" i="18"/>
  <c r="M3" i="18"/>
  <c r="S15" i="27"/>
  <c r="U12" i="20"/>
  <c r="U37" i="20"/>
  <c r="T17" i="27"/>
  <c r="T7" i="27"/>
  <c r="X4" i="20"/>
  <c r="T10" i="27"/>
  <c r="X7" i="20"/>
  <c r="U15" i="27"/>
  <c r="AA37" i="20"/>
  <c r="T14" i="27"/>
  <c r="Q10" i="19"/>
  <c r="X34" i="20"/>
  <c r="S7" i="27"/>
  <c r="U4" i="20"/>
  <c r="R15" i="27"/>
  <c r="T6" i="27"/>
  <c r="X3" i="20"/>
  <c r="S8" i="27"/>
  <c r="U5" i="20"/>
  <c r="P5" i="20"/>
  <c r="AL5" i="20"/>
  <c r="AN5" i="20"/>
  <c r="R16" i="27"/>
  <c r="R11" i="20"/>
  <c r="T9" i="27"/>
  <c r="X6" i="20"/>
  <c r="T5" i="27"/>
  <c r="X2" i="20"/>
  <c r="Q5" i="19"/>
  <c r="T11" i="27"/>
  <c r="X8" i="20"/>
  <c r="S16" i="27"/>
  <c r="U11" i="20"/>
  <c r="O6" i="19"/>
  <c r="U13" i="20"/>
  <c r="P13" i="20"/>
  <c r="AL13" i="20"/>
  <c r="AN13" i="20"/>
  <c r="S20" i="27"/>
  <c r="U17" i="20"/>
  <c r="P17" i="20"/>
  <c r="AL17" i="20"/>
  <c r="AN17" i="20"/>
  <c r="S10" i="27"/>
  <c r="U7" i="20"/>
  <c r="T16" i="27"/>
  <c r="X11" i="20"/>
  <c r="Q6" i="19"/>
  <c r="X13" i="20"/>
  <c r="T20" i="27"/>
  <c r="X17" i="20"/>
  <c r="T15" i="27"/>
  <c r="X12" i="20"/>
  <c r="X37" i="20"/>
  <c r="S11" i="27"/>
  <c r="U8" i="20"/>
  <c r="P8" i="20"/>
  <c r="AL8" i="20"/>
  <c r="AN8" i="20"/>
  <c r="U16" i="27"/>
  <c r="AA11" i="20"/>
  <c r="S6" i="19"/>
  <c r="U14" i="27"/>
  <c r="S10" i="19"/>
  <c r="AA34" i="20"/>
  <c r="T8" i="27"/>
  <c r="X5" i="20"/>
  <c r="S5" i="27"/>
  <c r="U2" i="20"/>
  <c r="O5" i="19"/>
  <c r="U5" i="27"/>
  <c r="AA2" i="20"/>
  <c r="S5" i="19"/>
  <c r="S6" i="27"/>
  <c r="U3" i="20"/>
  <c r="P3" i="20"/>
  <c r="AL3" i="20"/>
  <c r="AN3" i="20"/>
  <c r="S9" i="27"/>
  <c r="U6" i="20"/>
  <c r="P6" i="20"/>
  <c r="AL6" i="20"/>
  <c r="AN6" i="20"/>
  <c r="S14" i="27"/>
  <c r="O10" i="19"/>
  <c r="U34" i="20"/>
  <c r="S17" i="27"/>
  <c r="U14" i="20"/>
  <c r="P3" i="18"/>
  <c r="R5" i="27"/>
  <c r="R2" i="20"/>
  <c r="R14" i="27"/>
  <c r="M10" i="19"/>
  <c r="U10" i="19"/>
  <c r="R34" i="20"/>
  <c r="R8" i="27"/>
  <c r="P6" i="18"/>
  <c r="P4" i="18"/>
  <c r="V6" i="27"/>
  <c r="Q6" i="27"/>
  <c r="P5" i="18"/>
  <c r="P7" i="18"/>
  <c r="P8" i="18"/>
  <c r="P10" i="18"/>
  <c r="V12" i="27"/>
  <c r="Q12" i="27"/>
  <c r="P11" i="18"/>
  <c r="P12" i="18"/>
  <c r="P13" i="18"/>
  <c r="P14" i="18"/>
  <c r="P17" i="18"/>
  <c r="P18" i="18"/>
  <c r="P2" i="18"/>
  <c r="AL37" i="20"/>
  <c r="AN37" i="20"/>
  <c r="T11" i="18"/>
  <c r="U11" i="18"/>
  <c r="V11" i="18"/>
  <c r="V13" i="27"/>
  <c r="Q13" i="27"/>
  <c r="T10" i="18"/>
  <c r="U10" i="18"/>
  <c r="V10" i="18"/>
  <c r="T18" i="18"/>
  <c r="U18" i="18"/>
  <c r="V18" i="18"/>
  <c r="V20" i="27"/>
  <c r="Q20" i="27"/>
  <c r="P4" i="20"/>
  <c r="AL4" i="20"/>
  <c r="AN4" i="20"/>
  <c r="P11" i="20"/>
  <c r="AL11" i="20"/>
  <c r="AN11" i="20"/>
  <c r="M6" i="19"/>
  <c r="U6" i="19"/>
  <c r="P12" i="20"/>
  <c r="AL12" i="20"/>
  <c r="AN12" i="20"/>
  <c r="T2" i="18"/>
  <c r="U2" i="18"/>
  <c r="V2" i="18"/>
  <c r="V4" i="27"/>
  <c r="Q4" i="27"/>
  <c r="T17" i="18"/>
  <c r="U17" i="18"/>
  <c r="V17" i="18"/>
  <c r="V19" i="27"/>
  <c r="Q19" i="27"/>
  <c r="T14" i="18"/>
  <c r="U14" i="18"/>
  <c r="V14" i="18"/>
  <c r="V16" i="27"/>
  <c r="Q16" i="27"/>
  <c r="T13" i="18"/>
  <c r="U13" i="18"/>
  <c r="V13" i="18"/>
  <c r="V15" i="27"/>
  <c r="Q15" i="27"/>
  <c r="P34" i="20"/>
  <c r="AL34" i="20"/>
  <c r="AN34" i="20"/>
  <c r="P7" i="20"/>
  <c r="AL7" i="20"/>
  <c r="AN7" i="20"/>
  <c r="T4" i="18"/>
  <c r="U4" i="18"/>
  <c r="V4" i="18"/>
  <c r="P2" i="20"/>
  <c r="M5" i="19"/>
  <c r="T5" i="18"/>
  <c r="U5" i="18"/>
  <c r="V5" i="18"/>
  <c r="V7" i="27"/>
  <c r="Q7" i="27"/>
  <c r="E134" i="24"/>
  <c r="T3" i="18"/>
  <c r="U3" i="18"/>
  <c r="V3" i="18"/>
  <c r="V5" i="27"/>
  <c r="Q5" i="27"/>
  <c r="E116" i="24"/>
  <c r="T8" i="18"/>
  <c r="U8" i="18"/>
  <c r="V8" i="18"/>
  <c r="V10" i="27"/>
  <c r="Q10" i="27"/>
  <c r="T7" i="18"/>
  <c r="U7" i="18"/>
  <c r="V7" i="18"/>
  <c r="V9" i="27"/>
  <c r="Q9" i="27"/>
  <c r="T12" i="18"/>
  <c r="U12" i="18"/>
  <c r="V12" i="18"/>
  <c r="V14" i="27"/>
  <c r="Q14" i="27"/>
  <c r="V8" i="27"/>
  <c r="Q8" i="27"/>
  <c r="T6" i="18"/>
  <c r="U6" i="18"/>
  <c r="V6" i="18"/>
  <c r="E4" i="24"/>
  <c r="U5" i="19"/>
  <c r="C25" i="6"/>
  <c r="C41" i="6"/>
  <c r="C38" i="6"/>
  <c r="D38" i="6"/>
  <c r="E38" i="6"/>
  <c r="C43" i="6"/>
  <c r="C48" i="3"/>
  <c r="C41" i="3"/>
  <c r="E39" i="3"/>
  <c r="D39" i="3"/>
  <c r="C39" i="3"/>
  <c r="D33" i="1"/>
  <c r="D26" i="1"/>
  <c r="C37" i="1"/>
  <c r="D37" i="1"/>
  <c r="E37" i="1"/>
  <c r="C39" i="1"/>
  <c r="C46" i="1"/>
  <c r="BI18" i="8"/>
  <c r="BH5" i="1"/>
  <c r="D18" i="15"/>
  <c r="D19" i="15"/>
  <c r="D20" i="15"/>
  <c r="D21" i="15"/>
  <c r="C21" i="15"/>
  <c r="C33" i="15"/>
  <c r="C20" i="15"/>
  <c r="C32" i="15"/>
  <c r="C19" i="15"/>
  <c r="C31" i="15"/>
  <c r="C18" i="15"/>
  <c r="C30" i="15"/>
  <c r="D22" i="15"/>
  <c r="BD5" i="15"/>
  <c r="BE6" i="15"/>
  <c r="BH6" i="15"/>
  <c r="BE7" i="15"/>
  <c r="BH7" i="15"/>
  <c r="BD8" i="15"/>
  <c r="BE8" i="15"/>
  <c r="BH8" i="15"/>
  <c r="BE9" i="15"/>
  <c r="BH9" i="15"/>
  <c r="BE10" i="15"/>
  <c r="BH10" i="15"/>
  <c r="BE11" i="15"/>
  <c r="BH11" i="15"/>
  <c r="BD12" i="15"/>
  <c r="BE12" i="15"/>
  <c r="BH12" i="15"/>
  <c r="BE13" i="15"/>
  <c r="BH13" i="15"/>
  <c r="BE14" i="15"/>
  <c r="BH14" i="15"/>
  <c r="BE15" i="15"/>
  <c r="BH15" i="15"/>
  <c r="BH5" i="15"/>
  <c r="BE5" i="15"/>
  <c r="E33" i="14"/>
  <c r="E34" i="14"/>
  <c r="E35" i="14"/>
  <c r="E36" i="14"/>
  <c r="E37" i="14"/>
  <c r="E38" i="14"/>
  <c r="D38" i="14"/>
  <c r="D53" i="14"/>
  <c r="D37" i="14"/>
  <c r="D52" i="14"/>
  <c r="D36" i="14"/>
  <c r="D51" i="14"/>
  <c r="D35" i="14"/>
  <c r="D50" i="14"/>
  <c r="D34" i="14"/>
  <c r="D49" i="14"/>
  <c r="D33" i="14"/>
  <c r="D48" i="14"/>
  <c r="BE6" i="14"/>
  <c r="BF6" i="14"/>
  <c r="BI6" i="14"/>
  <c r="BF7" i="14"/>
  <c r="BI7" i="14"/>
  <c r="BF8" i="14"/>
  <c r="BI8" i="14"/>
  <c r="BF9" i="14"/>
  <c r="BI9" i="14"/>
  <c r="BE10" i="14"/>
  <c r="BF10" i="14"/>
  <c r="BI10" i="14"/>
  <c r="BF11" i="14"/>
  <c r="BI11" i="14"/>
  <c r="BF12" i="14"/>
  <c r="BI12" i="14"/>
  <c r="BF13" i="14"/>
  <c r="BI13" i="14"/>
  <c r="BE14" i="14"/>
  <c r="BF14" i="14"/>
  <c r="BI14" i="14"/>
  <c r="BF15" i="14"/>
  <c r="BI15" i="14"/>
  <c r="BF16" i="14"/>
  <c r="BI16" i="14"/>
  <c r="BF17" i="14"/>
  <c r="BI17" i="14"/>
  <c r="BF18" i="14"/>
  <c r="BI18" i="14"/>
  <c r="BE19" i="14"/>
  <c r="BG19" i="14" s="1"/>
  <c r="BH19" i="14" s="1"/>
  <c r="F36" i="14" s="1"/>
  <c r="F51" i="14" s="1"/>
  <c r="BF19" i="14"/>
  <c r="BI19" i="14"/>
  <c r="BF20" i="14"/>
  <c r="BI20" i="14"/>
  <c r="BF21" i="14"/>
  <c r="BI21" i="14"/>
  <c r="BF22" i="14"/>
  <c r="BI22" i="14"/>
  <c r="BF23" i="14"/>
  <c r="BI23" i="14"/>
  <c r="BE24" i="14"/>
  <c r="BF24" i="14"/>
  <c r="BI24" i="14"/>
  <c r="BF25" i="14"/>
  <c r="BI25" i="14"/>
  <c r="BF26" i="14"/>
  <c r="BI26" i="14"/>
  <c r="BF27" i="14"/>
  <c r="BI27" i="14"/>
  <c r="BF28" i="14"/>
  <c r="BI28" i="14"/>
  <c r="BF29" i="14"/>
  <c r="BI29" i="14"/>
  <c r="BF30" i="14"/>
  <c r="BI30" i="14"/>
  <c r="BI5" i="14"/>
  <c r="BF5" i="14"/>
  <c r="N4" i="13"/>
  <c r="R4" i="13"/>
  <c r="N5" i="13"/>
  <c r="N6" i="13"/>
  <c r="N7" i="13"/>
  <c r="N8" i="13"/>
  <c r="J9" i="13"/>
  <c r="Z10" i="13"/>
  <c r="AD10" i="13"/>
  <c r="AH10" i="13"/>
  <c r="AL10" i="13"/>
  <c r="AP10" i="13"/>
  <c r="AT10" i="13"/>
  <c r="AX10" i="13"/>
  <c r="AH11" i="13"/>
  <c r="AL11" i="13"/>
  <c r="AP11" i="13"/>
  <c r="AT11" i="13"/>
  <c r="AX11" i="13"/>
  <c r="N12" i="13"/>
  <c r="BE13" i="13"/>
  <c r="BD14" i="13"/>
  <c r="BE14" i="13"/>
  <c r="R15" i="13"/>
  <c r="V15" i="13"/>
  <c r="Z15" i="13"/>
  <c r="AD15" i="13"/>
  <c r="AH15" i="13"/>
  <c r="J16" i="13"/>
  <c r="N16" i="13"/>
  <c r="R16" i="13"/>
  <c r="V16" i="13"/>
  <c r="Z16" i="13"/>
  <c r="AD16" i="13"/>
  <c r="AH16" i="13"/>
  <c r="AL16" i="13"/>
  <c r="AP16" i="13"/>
  <c r="AT16" i="13"/>
  <c r="AX16" i="13"/>
  <c r="BB16" i="13"/>
  <c r="J17" i="13"/>
  <c r="N17" i="13"/>
  <c r="R17" i="13"/>
  <c r="V17" i="13"/>
  <c r="Z17" i="13"/>
  <c r="AD17" i="13"/>
  <c r="AH17" i="13"/>
  <c r="AL17" i="13"/>
  <c r="AP17" i="13"/>
  <c r="AT17" i="13"/>
  <c r="AX17" i="13"/>
  <c r="BB17" i="13"/>
  <c r="Z18" i="13"/>
  <c r="AD18" i="13"/>
  <c r="AH18" i="13"/>
  <c r="AL18" i="13"/>
  <c r="AP18" i="13"/>
  <c r="BE19" i="13"/>
  <c r="N20" i="13"/>
  <c r="R20" i="13"/>
  <c r="V20" i="13"/>
  <c r="Z20" i="13"/>
  <c r="AD20" i="13"/>
  <c r="AH20" i="13"/>
  <c r="J21" i="13"/>
  <c r="J22" i="13"/>
  <c r="J23" i="13"/>
  <c r="J24" i="13"/>
  <c r="J25" i="13"/>
  <c r="N26" i="13"/>
  <c r="BE27" i="13"/>
  <c r="BE28" i="13"/>
  <c r="D31" i="13"/>
  <c r="D32" i="13"/>
  <c r="D33" i="13"/>
  <c r="D34" i="13"/>
  <c r="D35" i="13"/>
  <c r="C35" i="13"/>
  <c r="C47" i="13"/>
  <c r="C34" i="13"/>
  <c r="C46" i="13"/>
  <c r="C33" i="13"/>
  <c r="C45" i="13"/>
  <c r="C32" i="13"/>
  <c r="C44" i="13"/>
  <c r="C31" i="13"/>
  <c r="C43" i="13"/>
  <c r="BH5" i="13"/>
  <c r="BH6" i="13"/>
  <c r="BH7" i="13"/>
  <c r="BH8" i="13"/>
  <c r="BH9" i="13"/>
  <c r="BH10" i="13"/>
  <c r="BH11" i="13"/>
  <c r="BH12" i="13"/>
  <c r="BH13" i="13"/>
  <c r="BH14" i="13"/>
  <c r="BH15" i="13"/>
  <c r="BH16" i="13"/>
  <c r="BH17" i="13"/>
  <c r="BH18" i="13"/>
  <c r="BH19" i="13"/>
  <c r="BH20" i="13"/>
  <c r="BH21" i="13"/>
  <c r="BH22" i="13"/>
  <c r="BH23" i="13"/>
  <c r="BH24" i="13"/>
  <c r="BH25" i="13"/>
  <c r="BH26" i="13"/>
  <c r="BH27" i="13"/>
  <c r="BH28" i="13"/>
  <c r="BH4" i="13"/>
  <c r="R6" i="13"/>
  <c r="BE22" i="14"/>
  <c r="BE11" i="14"/>
  <c r="BG11" i="14" s="1"/>
  <c r="BH11" i="14" s="1"/>
  <c r="BD6" i="15"/>
  <c r="D30" i="15"/>
  <c r="BD11" i="15"/>
  <c r="BF11" i="15"/>
  <c r="BG11" i="15"/>
  <c r="BE27" i="14"/>
  <c r="BG27" i="14" s="1"/>
  <c r="BH27" i="14" s="1"/>
  <c r="BE21" i="14"/>
  <c r="BG21" i="14"/>
  <c r="BH21" i="14" s="1"/>
  <c r="BE15" i="14"/>
  <c r="BG15" i="14" s="1"/>
  <c r="BH15" i="14" s="1"/>
  <c r="BD10" i="15"/>
  <c r="BF10" i="15"/>
  <c r="BG10" i="15"/>
  <c r="E20" i="15"/>
  <c r="E32" i="15"/>
  <c r="D32" i="15"/>
  <c r="BE16" i="14"/>
  <c r="BG16" i="14"/>
  <c r="BH16" i="14" s="1"/>
  <c r="BE5" i="14"/>
  <c r="BG5" i="14" s="1"/>
  <c r="BH5" i="14" s="1"/>
  <c r="BE20" i="14"/>
  <c r="BG20" i="14" s="1"/>
  <c r="BH20" i="14" s="1"/>
  <c r="E51" i="14"/>
  <c r="BD15" i="15"/>
  <c r="R5" i="13"/>
  <c r="BE25" i="14"/>
  <c r="BG25" i="14"/>
  <c r="BH25" i="14" s="1"/>
  <c r="BE9" i="14"/>
  <c r="BG9" i="14" s="1"/>
  <c r="BH9" i="14" s="1"/>
  <c r="O16" i="18"/>
  <c r="U18" i="27"/>
  <c r="N16" i="18"/>
  <c r="L16" i="18"/>
  <c r="M16" i="18"/>
  <c r="BD9" i="15"/>
  <c r="BF9" i="15"/>
  <c r="BG9" i="15"/>
  <c r="BE28" i="14"/>
  <c r="BG28" i="14"/>
  <c r="BH28" i="14" s="1"/>
  <c r="BD14" i="15"/>
  <c r="BF14" i="15"/>
  <c r="BG14" i="15"/>
  <c r="BE30" i="14"/>
  <c r="BG30" i="14"/>
  <c r="BH30" i="14" s="1"/>
  <c r="F38" i="14" s="1"/>
  <c r="F53" i="14" s="1"/>
  <c r="E53" i="14"/>
  <c r="BE8" i="14"/>
  <c r="BG8" i="14" s="1"/>
  <c r="BH8" i="14" s="1"/>
  <c r="BE17" i="14"/>
  <c r="E50" i="14"/>
  <c r="BG24" i="14"/>
  <c r="BH24" i="14" s="1"/>
  <c r="BE13" i="14"/>
  <c r="BG13" i="14" s="1"/>
  <c r="BH13" i="14" s="1"/>
  <c r="BD13" i="15"/>
  <c r="BF13" i="15"/>
  <c r="BG13" i="15"/>
  <c r="BF8" i="15"/>
  <c r="BG8" i="15"/>
  <c r="BE29" i="14"/>
  <c r="BG29" i="14"/>
  <c r="BH29" i="14"/>
  <c r="BE18" i="14"/>
  <c r="BG18" i="14"/>
  <c r="BH18" i="14" s="1"/>
  <c r="BE7" i="14"/>
  <c r="BG7" i="14" s="1"/>
  <c r="BH7" i="14" s="1"/>
  <c r="E39" i="14"/>
  <c r="BE26" i="14"/>
  <c r="BG26" i="14" s="1"/>
  <c r="BH26" i="14" s="1"/>
  <c r="R26" i="13"/>
  <c r="V26" i="13"/>
  <c r="Z26" i="13"/>
  <c r="AD26" i="13"/>
  <c r="AH26" i="13"/>
  <c r="AL26" i="13"/>
  <c r="AP26" i="13"/>
  <c r="BE23" i="14"/>
  <c r="BG23" i="14" s="1"/>
  <c r="BH23" i="14" s="1"/>
  <c r="BE12" i="14"/>
  <c r="BG12" i="14" s="1"/>
  <c r="BH12" i="14" s="1"/>
  <c r="BD7" i="15"/>
  <c r="BF7" i="15"/>
  <c r="BG7" i="15"/>
  <c r="D31" i="15"/>
  <c r="BF15" i="15"/>
  <c r="BG15" i="15"/>
  <c r="E105" i="24"/>
  <c r="BF14" i="13"/>
  <c r="BD27" i="13"/>
  <c r="BF27" i="13"/>
  <c r="BG27" i="13"/>
  <c r="BD19" i="13"/>
  <c r="BF19" i="13"/>
  <c r="BG19" i="13"/>
  <c r="BD13" i="13"/>
  <c r="BF13" i="13"/>
  <c r="BG13" i="13"/>
  <c r="N9" i="13"/>
  <c r="R9" i="13"/>
  <c r="V9" i="13"/>
  <c r="Z9" i="13"/>
  <c r="AD9" i="13"/>
  <c r="AH9" i="13"/>
  <c r="AL9" i="13"/>
  <c r="AP9" i="13"/>
  <c r="AT9" i="13"/>
  <c r="AX9" i="13"/>
  <c r="BD28" i="13"/>
  <c r="BF28" i="13"/>
  <c r="BG28" i="13"/>
  <c r="E35" i="13"/>
  <c r="E47" i="13"/>
  <c r="D47" i="13"/>
  <c r="D33" i="15"/>
  <c r="BF12" i="15"/>
  <c r="BG12" i="15"/>
  <c r="E21" i="15"/>
  <c r="E33" i="15"/>
  <c r="BF6" i="15"/>
  <c r="BG6" i="15"/>
  <c r="BF5" i="15"/>
  <c r="BG5" i="15"/>
  <c r="BG6" i="14"/>
  <c r="BH6" i="14" s="1"/>
  <c r="BG14" i="14"/>
  <c r="BH14" i="14"/>
  <c r="BG10" i="14"/>
  <c r="BH10" i="14"/>
  <c r="AT26" i="13"/>
  <c r="BE26" i="13"/>
  <c r="AT18" i="13"/>
  <c r="AX18" i="13"/>
  <c r="BE15" i="13"/>
  <c r="R12" i="13"/>
  <c r="V12" i="13"/>
  <c r="Z12" i="13"/>
  <c r="AD12" i="13"/>
  <c r="AH12" i="13"/>
  <c r="AL12" i="13"/>
  <c r="AP12" i="13"/>
  <c r="AT12" i="13"/>
  <c r="AX12" i="13"/>
  <c r="BB12" i="13"/>
  <c r="N25" i="13"/>
  <c r="R25" i="13"/>
  <c r="V25" i="13"/>
  <c r="Z25" i="13"/>
  <c r="AD25" i="13"/>
  <c r="AH25" i="13"/>
  <c r="AL25" i="13"/>
  <c r="AP25" i="13"/>
  <c r="AT25" i="13"/>
  <c r="AX25" i="13"/>
  <c r="BB25" i="13"/>
  <c r="N24" i="13"/>
  <c r="R24" i="13"/>
  <c r="V24" i="13"/>
  <c r="Z24" i="13"/>
  <c r="AD24" i="13"/>
  <c r="AH24" i="13"/>
  <c r="AL24" i="13"/>
  <c r="AP24" i="13"/>
  <c r="AT24" i="13"/>
  <c r="AX24" i="13"/>
  <c r="BB24" i="13"/>
  <c r="N23" i="13"/>
  <c r="R23" i="13"/>
  <c r="V23" i="13"/>
  <c r="Z23" i="13"/>
  <c r="AD23" i="13"/>
  <c r="AH23" i="13"/>
  <c r="AL23" i="13"/>
  <c r="AP23" i="13"/>
  <c r="AT23" i="13"/>
  <c r="AX23" i="13"/>
  <c r="BB23" i="13"/>
  <c r="N22" i="13"/>
  <c r="R22" i="13"/>
  <c r="V22" i="13"/>
  <c r="Z22" i="13"/>
  <c r="AD22" i="13"/>
  <c r="AH22" i="13"/>
  <c r="AL22" i="13"/>
  <c r="AP22" i="13"/>
  <c r="AT22" i="13"/>
  <c r="AX22" i="13"/>
  <c r="BB22" i="13"/>
  <c r="BE22" i="13"/>
  <c r="BD22" i="13"/>
  <c r="BF22" i="13"/>
  <c r="BG22" i="13"/>
  <c r="N21" i="13"/>
  <c r="R21" i="13"/>
  <c r="V21" i="13"/>
  <c r="Z21" i="13"/>
  <c r="AD21" i="13"/>
  <c r="AH21" i="13"/>
  <c r="AL21" i="13"/>
  <c r="AP21" i="13"/>
  <c r="AT21" i="13"/>
  <c r="AX21" i="13"/>
  <c r="BB21" i="13"/>
  <c r="BE20" i="13"/>
  <c r="V5" i="13"/>
  <c r="Z5" i="13"/>
  <c r="AD5" i="13"/>
  <c r="AH5" i="13"/>
  <c r="BE5" i="13"/>
  <c r="BE17" i="13"/>
  <c r="BD17" i="13"/>
  <c r="BF17" i="13"/>
  <c r="BG17" i="13"/>
  <c r="BE16" i="13"/>
  <c r="BD16" i="13"/>
  <c r="BF16" i="13"/>
  <c r="BG16" i="13"/>
  <c r="BE11" i="13"/>
  <c r="BE9" i="13"/>
  <c r="BD9" i="13"/>
  <c r="R8" i="13"/>
  <c r="V8" i="13"/>
  <c r="Z8" i="13"/>
  <c r="AD8" i="13"/>
  <c r="AH8" i="13"/>
  <c r="AL8" i="13"/>
  <c r="AP8" i="13"/>
  <c r="R7" i="13"/>
  <c r="V7" i="13"/>
  <c r="Z7" i="13"/>
  <c r="AD7" i="13"/>
  <c r="AH7" i="13"/>
  <c r="AL7" i="13"/>
  <c r="AP7" i="13"/>
  <c r="BE10" i="13"/>
  <c r="V6" i="13"/>
  <c r="Z6" i="13"/>
  <c r="AD6" i="13"/>
  <c r="AH6" i="13"/>
  <c r="V4" i="13"/>
  <c r="Z4" i="13"/>
  <c r="AD4" i="13"/>
  <c r="AH4" i="13"/>
  <c r="AL4" i="13"/>
  <c r="AP4" i="13"/>
  <c r="AT4" i="13"/>
  <c r="AX4" i="13"/>
  <c r="D36" i="13"/>
  <c r="BG14" i="13"/>
  <c r="D27" i="12"/>
  <c r="D28" i="12"/>
  <c r="D29" i="12"/>
  <c r="D30" i="12"/>
  <c r="D31" i="12"/>
  <c r="C31" i="12"/>
  <c r="C46" i="12"/>
  <c r="C30" i="12"/>
  <c r="C45" i="12"/>
  <c r="C29" i="12"/>
  <c r="C44" i="12"/>
  <c r="C28" i="12"/>
  <c r="C43" i="12"/>
  <c r="C27" i="12"/>
  <c r="C42" i="12"/>
  <c r="BE6" i="12"/>
  <c r="BH6" i="12"/>
  <c r="BE7" i="12"/>
  <c r="BH7" i="12"/>
  <c r="BE8" i="12"/>
  <c r="BH8" i="12"/>
  <c r="BE9" i="12"/>
  <c r="BH9" i="12"/>
  <c r="BE10" i="12"/>
  <c r="BH10" i="12"/>
  <c r="BE11" i="12"/>
  <c r="BH11" i="12"/>
  <c r="BE12" i="12"/>
  <c r="BH12" i="12"/>
  <c r="BE13" i="12"/>
  <c r="BH13" i="12"/>
  <c r="BE14" i="12"/>
  <c r="BH14" i="12"/>
  <c r="E94" i="24"/>
  <c r="BE15" i="12"/>
  <c r="BH15" i="12"/>
  <c r="BE16" i="12"/>
  <c r="BH16" i="12"/>
  <c r="BE17" i="12"/>
  <c r="BH17" i="12"/>
  <c r="BE18" i="12"/>
  <c r="BH18" i="12"/>
  <c r="BE19" i="12"/>
  <c r="BH19" i="12"/>
  <c r="BE20" i="12"/>
  <c r="BH20" i="12"/>
  <c r="BE21" i="12"/>
  <c r="BH21" i="12"/>
  <c r="BE22" i="12"/>
  <c r="BH22" i="12"/>
  <c r="BE23" i="12"/>
  <c r="BH23" i="12"/>
  <c r="E31" i="12"/>
  <c r="E46" i="12"/>
  <c r="BE24" i="12"/>
  <c r="BH24" i="12"/>
  <c r="BH5" i="12"/>
  <c r="BE5" i="12"/>
  <c r="D27" i="11"/>
  <c r="D28" i="11"/>
  <c r="D29" i="11"/>
  <c r="D30" i="11"/>
  <c r="D31" i="11"/>
  <c r="D32" i="11"/>
  <c r="C32" i="11"/>
  <c r="C46" i="11"/>
  <c r="C31" i="11"/>
  <c r="C45" i="11"/>
  <c r="C30" i="11"/>
  <c r="C44" i="11"/>
  <c r="C29" i="11"/>
  <c r="C43" i="11"/>
  <c r="C28" i="11"/>
  <c r="C42" i="11"/>
  <c r="C27" i="11"/>
  <c r="C41" i="11"/>
  <c r="BD18" i="11"/>
  <c r="BD21" i="11"/>
  <c r="BD22" i="11"/>
  <c r="BE11" i="11"/>
  <c r="BH24" i="11"/>
  <c r="BE24" i="11"/>
  <c r="BH23" i="11"/>
  <c r="BE23" i="11"/>
  <c r="BH22" i="11"/>
  <c r="BE22" i="11"/>
  <c r="BI22" i="11" s="1"/>
  <c r="D45" i="11" s="1"/>
  <c r="BH21" i="11"/>
  <c r="BE21" i="11"/>
  <c r="BH20" i="11"/>
  <c r="BE20" i="11"/>
  <c r="BH19" i="11"/>
  <c r="BE19" i="11"/>
  <c r="BH18" i="11"/>
  <c r="BE18" i="11"/>
  <c r="BH17" i="11"/>
  <c r="BE17" i="11"/>
  <c r="BH16" i="11"/>
  <c r="BE16" i="11"/>
  <c r="BH15" i="11"/>
  <c r="BE15" i="11"/>
  <c r="BH14" i="11"/>
  <c r="BE14" i="11"/>
  <c r="BH13" i="11"/>
  <c r="BH12" i="11"/>
  <c r="BH11" i="11"/>
  <c r="BH10" i="11"/>
  <c r="BE10" i="11"/>
  <c r="BH9" i="11"/>
  <c r="BE9" i="11"/>
  <c r="BD9" i="11"/>
  <c r="BH8" i="11"/>
  <c r="BE8" i="11"/>
  <c r="BH7" i="11"/>
  <c r="BE7" i="11"/>
  <c r="BH6" i="11"/>
  <c r="BE6" i="11"/>
  <c r="BE5" i="11"/>
  <c r="BE13" i="11"/>
  <c r="BI13" i="11" s="1"/>
  <c r="BE12" i="11"/>
  <c r="BD12" i="11"/>
  <c r="V31" i="27" s="1"/>
  <c r="Q31" i="27" s="1"/>
  <c r="BD19" i="11"/>
  <c r="BF19" i="11"/>
  <c r="BG19" i="11"/>
  <c r="BD11" i="11"/>
  <c r="E49" i="14"/>
  <c r="D32" i="12"/>
  <c r="S18" i="27"/>
  <c r="U15" i="20"/>
  <c r="BD14" i="11"/>
  <c r="BF14" i="11"/>
  <c r="BG14" i="11"/>
  <c r="BD20" i="11"/>
  <c r="BF20" i="11"/>
  <c r="BG20" i="11"/>
  <c r="D43" i="12"/>
  <c r="BI25" i="12"/>
  <c r="D11" i="16"/>
  <c r="BE18" i="13"/>
  <c r="BI16" i="15"/>
  <c r="D14" i="16"/>
  <c r="R18" i="27"/>
  <c r="P16" i="18"/>
  <c r="T16" i="18" s="1"/>
  <c r="U16" i="18" s="1"/>
  <c r="V16" i="18" s="1"/>
  <c r="D34" i="15"/>
  <c r="T18" i="27"/>
  <c r="X15" i="20"/>
  <c r="BD8" i="11"/>
  <c r="BF8" i="11"/>
  <c r="BG8" i="11"/>
  <c r="BD15" i="11"/>
  <c r="BF15" i="11"/>
  <c r="BG15" i="11"/>
  <c r="E19" i="15"/>
  <c r="E31" i="15"/>
  <c r="BD16" i="11"/>
  <c r="E48" i="14"/>
  <c r="BJ31" i="14"/>
  <c r="D13" i="16"/>
  <c r="BG22" i="14"/>
  <c r="BH22" i="14"/>
  <c r="E138" i="24"/>
  <c r="E52" i="14"/>
  <c r="BD17" i="11"/>
  <c r="E60" i="24"/>
  <c r="BD23" i="11"/>
  <c r="V32" i="27"/>
  <c r="Q32" i="27"/>
  <c r="D46" i="11"/>
  <c r="D46" i="12"/>
  <c r="D45" i="12"/>
  <c r="BE24" i="13"/>
  <c r="BD24" i="13"/>
  <c r="BF24" i="13"/>
  <c r="BG24" i="13"/>
  <c r="BG17" i="14"/>
  <c r="BH17" i="14" s="1"/>
  <c r="V27" i="27"/>
  <c r="Q27" i="27"/>
  <c r="BD10" i="11"/>
  <c r="BF10" i="11"/>
  <c r="BG10" i="11"/>
  <c r="D44" i="13"/>
  <c r="BD24" i="11"/>
  <c r="BF24" i="11"/>
  <c r="BG24" i="11"/>
  <c r="BF9" i="13"/>
  <c r="BG9" i="13"/>
  <c r="E120" i="24"/>
  <c r="BF18" i="11"/>
  <c r="BG18" i="11"/>
  <c r="V30" i="27"/>
  <c r="Q30" i="27"/>
  <c r="E54" i="24"/>
  <c r="BF16" i="11"/>
  <c r="BG16" i="11"/>
  <c r="E69" i="24"/>
  <c r="V28" i="27"/>
  <c r="Q28" i="27"/>
  <c r="E55" i="24"/>
  <c r="E87" i="24"/>
  <c r="E84" i="24"/>
  <c r="BD26" i="13"/>
  <c r="BF26" i="13"/>
  <c r="BG26" i="13"/>
  <c r="BD10" i="13"/>
  <c r="BF10" i="13"/>
  <c r="BG10" i="13"/>
  <c r="BD11" i="13"/>
  <c r="BF11" i="13"/>
  <c r="BG11" i="13"/>
  <c r="BE25" i="13"/>
  <c r="BD15" i="13"/>
  <c r="BF15" i="13"/>
  <c r="BG15" i="13"/>
  <c r="E32" i="13"/>
  <c r="E44" i="13"/>
  <c r="BD20" i="13"/>
  <c r="BF20" i="13"/>
  <c r="BG20" i="13"/>
  <c r="BE6" i="13"/>
  <c r="BD18" i="13"/>
  <c r="BF18" i="13"/>
  <c r="BG18" i="13"/>
  <c r="E33" i="13"/>
  <c r="E45" i="13"/>
  <c r="BD5" i="13"/>
  <c r="BF5" i="13"/>
  <c r="BG5" i="13"/>
  <c r="E18" i="15"/>
  <c r="BG16" i="15"/>
  <c r="C14" i="16"/>
  <c r="E14" i="16"/>
  <c r="E30" i="12"/>
  <c r="E45" i="12"/>
  <c r="E41" i="11"/>
  <c r="BE21" i="13"/>
  <c r="BE4" i="13"/>
  <c r="BE8" i="13"/>
  <c r="BE7" i="13"/>
  <c r="BE12" i="13"/>
  <c r="BE23" i="13"/>
  <c r="BD13" i="11"/>
  <c r="D33" i="11"/>
  <c r="BF9" i="11"/>
  <c r="BG9" i="11"/>
  <c r="BF21" i="11"/>
  <c r="BG21" i="11"/>
  <c r="BF17" i="11"/>
  <c r="BG17" i="11"/>
  <c r="BF11" i="11"/>
  <c r="BG11" i="11"/>
  <c r="D42" i="11"/>
  <c r="D44" i="11"/>
  <c r="BI29" i="13"/>
  <c r="D42" i="12"/>
  <c r="BF23" i="11"/>
  <c r="BG23" i="11"/>
  <c r="E32" i="11"/>
  <c r="E46" i="11"/>
  <c r="D41" i="11"/>
  <c r="E29" i="12"/>
  <c r="E44" i="12"/>
  <c r="E30" i="11"/>
  <c r="E44" i="11"/>
  <c r="D44" i="12"/>
  <c r="E54" i="14"/>
  <c r="P15" i="20"/>
  <c r="AL15" i="20"/>
  <c r="AN15" i="20"/>
  <c r="E22" i="15"/>
  <c r="E30" i="15"/>
  <c r="E34" i="15"/>
  <c r="BD8" i="13"/>
  <c r="BF8" i="13"/>
  <c r="BG8" i="13"/>
  <c r="BD23" i="13"/>
  <c r="BF23" i="13"/>
  <c r="BG23" i="13"/>
  <c r="BD4" i="13"/>
  <c r="BF4" i="13"/>
  <c r="BG4" i="13"/>
  <c r="BD25" i="13"/>
  <c r="BF25" i="13"/>
  <c r="BG25" i="13"/>
  <c r="BD12" i="13"/>
  <c r="BF12" i="13"/>
  <c r="BG12" i="13"/>
  <c r="BD21" i="13"/>
  <c r="BF21" i="13"/>
  <c r="BG21" i="13"/>
  <c r="E34" i="13"/>
  <c r="E46" i="13"/>
  <c r="BD6" i="13"/>
  <c r="BF6" i="13"/>
  <c r="BG6" i="13"/>
  <c r="D45" i="13"/>
  <c r="D46" i="13"/>
  <c r="BD7" i="13"/>
  <c r="BF7" i="13"/>
  <c r="BG7" i="13"/>
  <c r="E27" i="12"/>
  <c r="E42" i="12"/>
  <c r="C11" i="16"/>
  <c r="E11" i="16"/>
  <c r="E28" i="12"/>
  <c r="E28" i="11"/>
  <c r="D47" i="12"/>
  <c r="E31" i="13"/>
  <c r="E43" i="13"/>
  <c r="E48" i="13"/>
  <c r="E42" i="11"/>
  <c r="E32" i="12"/>
  <c r="E43" i="12"/>
  <c r="E47" i="12"/>
  <c r="BG29" i="13"/>
  <c r="C12" i="16"/>
  <c r="D43" i="13"/>
  <c r="D48" i="13"/>
  <c r="D12" i="16"/>
  <c r="D22" i="10"/>
  <c r="D23" i="10"/>
  <c r="D24" i="10"/>
  <c r="D25" i="10"/>
  <c r="D26" i="10"/>
  <c r="C26" i="10"/>
  <c r="C42" i="10"/>
  <c r="C25" i="10"/>
  <c r="C41" i="10"/>
  <c r="C24" i="10"/>
  <c r="C40" i="10"/>
  <c r="C23" i="10"/>
  <c r="C39" i="10"/>
  <c r="C22" i="10"/>
  <c r="C38" i="10"/>
  <c r="D27" i="10"/>
  <c r="BE6" i="10"/>
  <c r="BH6" i="10"/>
  <c r="BE7" i="10"/>
  <c r="BH7" i="10"/>
  <c r="BE8" i="10"/>
  <c r="BH8" i="10"/>
  <c r="BE9" i="10"/>
  <c r="BH9" i="10"/>
  <c r="BE10" i="10"/>
  <c r="BH10" i="10"/>
  <c r="BE11" i="10"/>
  <c r="BH11" i="10"/>
  <c r="BE12" i="10"/>
  <c r="BH12" i="10"/>
  <c r="BE13" i="10"/>
  <c r="BH13" i="10"/>
  <c r="BE14" i="10"/>
  <c r="BH14" i="10"/>
  <c r="BE15" i="10"/>
  <c r="BH15" i="10"/>
  <c r="BE16" i="10"/>
  <c r="BH16" i="10"/>
  <c r="BE17" i="10"/>
  <c r="BH17" i="10"/>
  <c r="E42" i="10"/>
  <c r="BE18" i="10"/>
  <c r="BH18" i="10"/>
  <c r="BH5" i="10"/>
  <c r="BE5" i="10"/>
  <c r="V26" i="27"/>
  <c r="Q26" i="27"/>
  <c r="D32" i="9"/>
  <c r="D33" i="9"/>
  <c r="D34" i="9"/>
  <c r="D35" i="9"/>
  <c r="D36" i="9"/>
  <c r="D37" i="9"/>
  <c r="D38" i="9"/>
  <c r="D39" i="9"/>
  <c r="D40" i="9"/>
  <c r="C40" i="9"/>
  <c r="C56" i="9"/>
  <c r="C39" i="9"/>
  <c r="C55" i="9"/>
  <c r="C38" i="9"/>
  <c r="C54" i="9"/>
  <c r="C37" i="9"/>
  <c r="C53" i="9"/>
  <c r="C36" i="9"/>
  <c r="C52" i="9"/>
  <c r="C35" i="9"/>
  <c r="C51" i="9"/>
  <c r="C34" i="9"/>
  <c r="C50" i="9"/>
  <c r="C33" i="9"/>
  <c r="C49" i="9"/>
  <c r="C32" i="9"/>
  <c r="C48" i="9"/>
  <c r="BE6" i="9"/>
  <c r="BH6" i="9"/>
  <c r="BE7" i="9"/>
  <c r="BH7" i="9"/>
  <c r="BE8" i="9"/>
  <c r="BH8" i="9"/>
  <c r="BE9" i="9"/>
  <c r="BH9" i="9"/>
  <c r="BE10" i="9"/>
  <c r="BH10" i="9"/>
  <c r="BE11" i="9"/>
  <c r="BH11" i="9"/>
  <c r="BE12" i="9"/>
  <c r="BH12" i="9"/>
  <c r="BE13" i="9"/>
  <c r="BH13" i="9"/>
  <c r="BE14" i="9"/>
  <c r="BH14" i="9"/>
  <c r="BE15" i="9"/>
  <c r="BH15" i="9"/>
  <c r="BE16" i="9"/>
  <c r="BH16" i="9"/>
  <c r="BE17" i="9"/>
  <c r="BH17" i="9"/>
  <c r="BE18" i="9"/>
  <c r="BH18" i="9"/>
  <c r="BE19" i="9"/>
  <c r="BH19" i="9"/>
  <c r="BE20" i="9"/>
  <c r="BH20" i="9"/>
  <c r="BE21" i="9"/>
  <c r="BH21" i="9"/>
  <c r="BE22" i="9"/>
  <c r="BH22" i="9"/>
  <c r="BE23" i="9"/>
  <c r="BH23" i="9"/>
  <c r="BE24" i="9"/>
  <c r="BH24" i="9"/>
  <c r="BE25" i="9"/>
  <c r="BH25" i="9"/>
  <c r="BE26" i="9"/>
  <c r="BH26" i="9"/>
  <c r="BE27" i="9"/>
  <c r="D55" i="9"/>
  <c r="BH27" i="9"/>
  <c r="BE28" i="9"/>
  <c r="D56" i="9"/>
  <c r="BH28" i="9"/>
  <c r="BH5" i="9"/>
  <c r="BE5" i="9"/>
  <c r="D22" i="8"/>
  <c r="D23" i="8"/>
  <c r="D24" i="8"/>
  <c r="D25" i="8"/>
  <c r="D26" i="8"/>
  <c r="D27" i="8"/>
  <c r="D28" i="8"/>
  <c r="C28" i="8"/>
  <c r="C45" i="8"/>
  <c r="C27" i="8"/>
  <c r="C44" i="8"/>
  <c r="C26" i="8"/>
  <c r="C43" i="8"/>
  <c r="C25" i="8"/>
  <c r="C42" i="8"/>
  <c r="C24" i="8"/>
  <c r="C41" i="8"/>
  <c r="C23" i="8"/>
  <c r="C40" i="8"/>
  <c r="C22" i="8"/>
  <c r="C39" i="8"/>
  <c r="E40" i="8"/>
  <c r="BE6" i="8"/>
  <c r="D40" i="8"/>
  <c r="BH6" i="8"/>
  <c r="BE7" i="8"/>
  <c r="BH7" i="8"/>
  <c r="BE8" i="8"/>
  <c r="BH8" i="8"/>
  <c r="BE9" i="8"/>
  <c r="BH9" i="8"/>
  <c r="BE10" i="8"/>
  <c r="BH10" i="8"/>
  <c r="BE11" i="8"/>
  <c r="BH11" i="8"/>
  <c r="BE12" i="8"/>
  <c r="BH12" i="8"/>
  <c r="BD13" i="8"/>
  <c r="BE13" i="8"/>
  <c r="D43" i="8"/>
  <c r="BH13" i="8"/>
  <c r="BE14" i="8"/>
  <c r="BH14" i="8"/>
  <c r="BE15" i="8"/>
  <c r="BH15" i="8"/>
  <c r="BE16" i="8"/>
  <c r="BH16" i="8"/>
  <c r="BE17" i="8"/>
  <c r="BH17" i="8"/>
  <c r="BH5" i="8"/>
  <c r="BE5" i="8"/>
  <c r="D29" i="7"/>
  <c r="D24" i="7"/>
  <c r="D25" i="7"/>
  <c r="D26" i="7"/>
  <c r="D27" i="7"/>
  <c r="D28" i="7"/>
  <c r="C28" i="7"/>
  <c r="C42" i="7"/>
  <c r="C27" i="7"/>
  <c r="C41" i="7"/>
  <c r="C26" i="7"/>
  <c r="C40" i="7"/>
  <c r="C25" i="7"/>
  <c r="C39" i="7"/>
  <c r="C24" i="7"/>
  <c r="C38" i="7"/>
  <c r="BH6" i="7"/>
  <c r="BH7" i="7"/>
  <c r="BH9" i="7"/>
  <c r="BH10" i="7"/>
  <c r="BH11" i="7"/>
  <c r="BH12" i="7"/>
  <c r="BH13" i="7"/>
  <c r="BH14" i="7"/>
  <c r="BE6" i="7"/>
  <c r="BE7" i="7"/>
  <c r="BE8" i="7"/>
  <c r="BE9" i="7"/>
  <c r="BE10" i="7"/>
  <c r="BE11" i="7"/>
  <c r="D41" i="7"/>
  <c r="BE12" i="7"/>
  <c r="BE13" i="7"/>
  <c r="BE14" i="7"/>
  <c r="BH5" i="7"/>
  <c r="BE5" i="7"/>
  <c r="D40" i="7"/>
  <c r="D29" i="8"/>
  <c r="E55" i="9"/>
  <c r="D53" i="9"/>
  <c r="BI29" i="9"/>
  <c r="D8" i="16"/>
  <c r="D42" i="8"/>
  <c r="D42" i="10"/>
  <c r="E40" i="10"/>
  <c r="D39" i="10"/>
  <c r="D45" i="8"/>
  <c r="BF13" i="8"/>
  <c r="BG13" i="8"/>
  <c r="E26" i="8"/>
  <c r="E43" i="8"/>
  <c r="D51" i="9"/>
  <c r="E56" i="9"/>
  <c r="E41" i="10"/>
  <c r="D48" i="9"/>
  <c r="E39" i="10"/>
  <c r="D39" i="7"/>
  <c r="D52" i="9"/>
  <c r="BI19" i="8"/>
  <c r="D7" i="16"/>
  <c r="D39" i="8"/>
  <c r="D42" i="7"/>
  <c r="D49" i="9"/>
  <c r="D44" i="8"/>
  <c r="E36" i="13"/>
  <c r="E52" i="9"/>
  <c r="V25" i="27"/>
  <c r="Q25" i="27"/>
  <c r="V24" i="27"/>
  <c r="Q24" i="27"/>
  <c r="V23" i="27"/>
  <c r="Q23" i="27"/>
  <c r="E12" i="16"/>
  <c r="E51" i="9"/>
  <c r="E48" i="9"/>
  <c r="E38" i="10"/>
  <c r="D41" i="9"/>
  <c r="E49" i="9"/>
  <c r="E45" i="8"/>
  <c r="E40" i="7"/>
  <c r="D6" i="16"/>
  <c r="D38" i="7"/>
  <c r="D43" i="7"/>
  <c r="D40" i="10"/>
  <c r="D50" i="9"/>
  <c r="D41" i="8"/>
  <c r="D46" i="8"/>
  <c r="E53" i="9"/>
  <c r="D54" i="9"/>
  <c r="D57" i="9"/>
  <c r="D9" i="16"/>
  <c r="D38" i="10"/>
  <c r="D41" i="10"/>
  <c r="C9" i="16"/>
  <c r="E54" i="9"/>
  <c r="E42" i="8"/>
  <c r="E38" i="7"/>
  <c r="E43" i="10"/>
  <c r="E27" i="10"/>
  <c r="E44" i="8"/>
  <c r="E39" i="8"/>
  <c r="BG19" i="8"/>
  <c r="C7" i="16"/>
  <c r="E7" i="16"/>
  <c r="E41" i="8"/>
  <c r="C26" i="6"/>
  <c r="C42" i="6"/>
  <c r="C24" i="6"/>
  <c r="C40" i="6"/>
  <c r="C23" i="6"/>
  <c r="C39" i="6"/>
  <c r="BH6" i="6"/>
  <c r="BH7" i="6"/>
  <c r="BH8" i="6"/>
  <c r="BH9" i="6"/>
  <c r="BH10" i="6"/>
  <c r="BH11" i="6"/>
  <c r="BH12" i="6"/>
  <c r="BH13" i="6"/>
  <c r="BH14" i="6"/>
  <c r="BH15" i="6"/>
  <c r="BH16" i="6"/>
  <c r="BH17" i="6"/>
  <c r="BE6" i="6"/>
  <c r="BE7" i="6"/>
  <c r="BE8" i="6"/>
  <c r="BE9" i="6"/>
  <c r="BE10" i="6"/>
  <c r="BE11" i="6"/>
  <c r="BE12" i="6"/>
  <c r="BE13" i="6"/>
  <c r="BE14" i="6"/>
  <c r="BE15" i="6"/>
  <c r="BE16" i="6"/>
  <c r="BE17" i="6"/>
  <c r="BH5" i="6"/>
  <c r="BE5" i="6"/>
  <c r="D35" i="3"/>
  <c r="D34" i="3"/>
  <c r="D33" i="3"/>
  <c r="C35" i="3"/>
  <c r="C47" i="3"/>
  <c r="C34" i="3"/>
  <c r="C46" i="3"/>
  <c r="C33" i="3"/>
  <c r="C45" i="3"/>
  <c r="C32" i="3"/>
  <c r="C44" i="3"/>
  <c r="C31" i="3"/>
  <c r="C43" i="3"/>
  <c r="C30" i="3"/>
  <c r="C42" i="3"/>
  <c r="C28" i="3"/>
  <c r="C40" i="3"/>
  <c r="BD8" i="3"/>
  <c r="BD6" i="3"/>
  <c r="BH6" i="3"/>
  <c r="D28" i="3"/>
  <c r="BH8" i="3"/>
  <c r="D29" i="3"/>
  <c r="BH9" i="3"/>
  <c r="BH10" i="3"/>
  <c r="BH13" i="3"/>
  <c r="D30" i="3"/>
  <c r="BH14" i="3"/>
  <c r="D31" i="3"/>
  <c r="BH15" i="3"/>
  <c r="D32" i="3"/>
  <c r="BH16" i="3"/>
  <c r="BH17" i="3"/>
  <c r="BH18" i="3"/>
  <c r="BH19" i="3"/>
  <c r="BE6" i="3"/>
  <c r="BE8" i="3"/>
  <c r="BE9" i="3"/>
  <c r="BE10" i="3"/>
  <c r="BE12" i="3"/>
  <c r="BE13" i="3"/>
  <c r="D42" i="3"/>
  <c r="BE14" i="3"/>
  <c r="D43" i="3"/>
  <c r="BE15" i="3"/>
  <c r="D44" i="3"/>
  <c r="BE16" i="3"/>
  <c r="D45" i="3"/>
  <c r="BE17" i="3"/>
  <c r="D46" i="3"/>
  <c r="BE18" i="3"/>
  <c r="BE19" i="3"/>
  <c r="BD9" i="3"/>
  <c r="BF9" i="3"/>
  <c r="BG9" i="3"/>
  <c r="BD10" i="3"/>
  <c r="BD13" i="3"/>
  <c r="BD14" i="3"/>
  <c r="BD15" i="3"/>
  <c r="BF15" i="3" s="1"/>
  <c r="BG15" i="3" s="1"/>
  <c r="BD16" i="3"/>
  <c r="BF16" i="3"/>
  <c r="BG16" i="3"/>
  <c r="E45" i="3"/>
  <c r="BH5" i="3"/>
  <c r="BE5" i="3"/>
  <c r="BD11" i="1"/>
  <c r="BD12" i="1"/>
  <c r="BE11" i="1"/>
  <c r="BE12" i="1"/>
  <c r="D32" i="1"/>
  <c r="D31" i="1"/>
  <c r="D30" i="1"/>
  <c r="D29" i="1"/>
  <c r="D28" i="1"/>
  <c r="D27" i="1"/>
  <c r="D34" i="1"/>
  <c r="C33" i="1"/>
  <c r="C45" i="1"/>
  <c r="C32" i="1"/>
  <c r="C44" i="1"/>
  <c r="C31" i="1"/>
  <c r="C43" i="1"/>
  <c r="C30" i="1"/>
  <c r="C42" i="1"/>
  <c r="C29" i="1"/>
  <c r="C41" i="1"/>
  <c r="C28" i="1"/>
  <c r="C40" i="1"/>
  <c r="C26" i="1"/>
  <c r="C38" i="1"/>
  <c r="BH6" i="1"/>
  <c r="BH8" i="1"/>
  <c r="BH9" i="1"/>
  <c r="BH11" i="1"/>
  <c r="BH13" i="1"/>
  <c r="BH14" i="1"/>
  <c r="BH15" i="1"/>
  <c r="BH16" i="1"/>
  <c r="BH17" i="1"/>
  <c r="BH18" i="1"/>
  <c r="BH19" i="1"/>
  <c r="BE6" i="1"/>
  <c r="D38" i="1"/>
  <c r="BE8" i="1"/>
  <c r="BE9" i="1"/>
  <c r="BE13" i="1"/>
  <c r="D40" i="1"/>
  <c r="BE14" i="1"/>
  <c r="BE15" i="1"/>
  <c r="BE16" i="1"/>
  <c r="BE17" i="1"/>
  <c r="BE18" i="1"/>
  <c r="BE19" i="1"/>
  <c r="BE5" i="1"/>
  <c r="BD13" i="1"/>
  <c r="BD14" i="1"/>
  <c r="BF14" i="1"/>
  <c r="BG14" i="1"/>
  <c r="E41" i="1"/>
  <c r="E42" i="1"/>
  <c r="BD17" i="1"/>
  <c r="BD9" i="1"/>
  <c r="BD8" i="1"/>
  <c r="BD6" i="1"/>
  <c r="D36" i="3"/>
  <c r="D39" i="1"/>
  <c r="D43" i="10"/>
  <c r="BF14" i="3"/>
  <c r="BG14" i="3"/>
  <c r="E43" i="3"/>
  <c r="BF13" i="3"/>
  <c r="BG13" i="3"/>
  <c r="E42" i="3"/>
  <c r="BF10" i="3"/>
  <c r="BG10" i="3"/>
  <c r="D41" i="3"/>
  <c r="E47" i="3"/>
  <c r="BF13" i="1"/>
  <c r="BG13" i="1"/>
  <c r="E40" i="1"/>
  <c r="E40" i="3"/>
  <c r="BF8" i="1"/>
  <c r="BG8" i="1"/>
  <c r="D44" i="1"/>
  <c r="D47" i="3"/>
  <c r="BF6" i="3"/>
  <c r="BG6" i="3"/>
  <c r="E45" i="1"/>
  <c r="BI20" i="3"/>
  <c r="D4" i="16"/>
  <c r="D40" i="3"/>
  <c r="BF8" i="3"/>
  <c r="BG8" i="3"/>
  <c r="D41" i="1"/>
  <c r="D42" i="1"/>
  <c r="D43" i="1"/>
  <c r="D45" i="1"/>
  <c r="D46" i="1"/>
  <c r="BF6" i="1"/>
  <c r="BG6" i="1"/>
  <c r="BF9" i="1"/>
  <c r="BG9" i="1"/>
  <c r="BF17" i="1"/>
  <c r="BG17" i="1"/>
  <c r="E44" i="1"/>
  <c r="E46" i="3"/>
  <c r="E29" i="8"/>
  <c r="E46" i="8"/>
  <c r="E40" i="6"/>
  <c r="E41" i="6"/>
  <c r="D25" i="6"/>
  <c r="D41" i="6"/>
  <c r="D39" i="6"/>
  <c r="D40" i="6"/>
  <c r="D42" i="6"/>
  <c r="D43" i="6"/>
  <c r="D23" i="6"/>
  <c r="D24" i="6"/>
  <c r="E42" i="6"/>
  <c r="D26" i="6"/>
  <c r="E43" i="1"/>
  <c r="BF12" i="1"/>
  <c r="BF11" i="1"/>
  <c r="D48" i="3"/>
  <c r="D3" i="16"/>
  <c r="E41" i="3"/>
  <c r="E38" i="1"/>
  <c r="D5" i="16"/>
  <c r="D27" i="6"/>
  <c r="E39" i="6"/>
  <c r="BG18" i="6"/>
  <c r="C5" i="16"/>
  <c r="BG11" i="1"/>
  <c r="C3" i="16"/>
  <c r="E3" i="16"/>
  <c r="E27" i="6"/>
  <c r="E43" i="6"/>
  <c r="E5" i="16"/>
  <c r="E39" i="1"/>
  <c r="E46" i="1"/>
  <c r="E34" i="1"/>
  <c r="AN2" i="20"/>
  <c r="Q22" i="27"/>
  <c r="P9" i="18" l="1"/>
  <c r="E10" i="24"/>
  <c r="E43" i="24" s="1"/>
  <c r="E21" i="24"/>
  <c r="E8" i="24"/>
  <c r="E36" i="24" s="1"/>
  <c r="E9" i="16"/>
  <c r="BG29" i="9"/>
  <c r="C8" i="16" s="1"/>
  <c r="E8" i="16" s="1"/>
  <c r="E34" i="9"/>
  <c r="BF22" i="11"/>
  <c r="BG22" i="11" s="1"/>
  <c r="E31" i="11" s="1"/>
  <c r="E45" i="11" s="1"/>
  <c r="E57" i="24"/>
  <c r="V29" i="27"/>
  <c r="Q29" i="27" s="1"/>
  <c r="BF12" i="11"/>
  <c r="BG12" i="11" s="1"/>
  <c r="BI12" i="11"/>
  <c r="BF13" i="11"/>
  <c r="BG13" i="11" s="1"/>
  <c r="E29" i="11" s="1"/>
  <c r="E33" i="11"/>
  <c r="E43" i="11"/>
  <c r="E47" i="11" s="1"/>
  <c r="BI25" i="11"/>
  <c r="D10" i="16" s="1"/>
  <c r="D15" i="16" s="1"/>
  <c r="D43" i="11"/>
  <c r="D47" i="11" s="1"/>
  <c r="BG25" i="11"/>
  <c r="C10" i="16" s="1"/>
  <c r="E10" i="16" s="1"/>
  <c r="BG15" i="7"/>
  <c r="C6" i="16" s="1"/>
  <c r="E6" i="16" s="1"/>
  <c r="E25" i="7"/>
  <c r="E32" i="3"/>
  <c r="BG20" i="3"/>
  <c r="C4" i="16" s="1"/>
  <c r="E4" i="16" s="1"/>
  <c r="T15" i="18"/>
  <c r="U15" i="18" s="1"/>
  <c r="V15" i="18" s="1"/>
  <c r="V17" i="27"/>
  <c r="Q17" i="27" s="1"/>
  <c r="E24" i="24"/>
  <c r="E33" i="24" s="1"/>
  <c r="X14" i="20"/>
  <c r="P14" i="20" s="1"/>
  <c r="AL14" i="20" s="1"/>
  <c r="AN14" i="20" s="1"/>
  <c r="BH31" i="14"/>
  <c r="C13" i="16" s="1"/>
  <c r="F33" i="14"/>
  <c r="F35" i="14"/>
  <c r="F50" i="14" s="1"/>
  <c r="F34" i="14"/>
  <c r="F49" i="14" s="1"/>
  <c r="F37" i="14"/>
  <c r="F52" i="14" s="1"/>
  <c r="V18" i="27"/>
  <c r="Q18" i="27" s="1"/>
  <c r="V11" i="27" l="1"/>
  <c r="Q11" i="27" s="1"/>
  <c r="E91" i="24"/>
  <c r="T9" i="18"/>
  <c r="U9" i="18" s="1"/>
  <c r="V9" i="18" s="1"/>
  <c r="E41" i="9"/>
  <c r="E57" i="9" s="1"/>
  <c r="E50" i="9"/>
  <c r="E39" i="7"/>
  <c r="E43" i="7" s="1"/>
  <c r="E29" i="7"/>
  <c r="E36" i="3"/>
  <c r="E44" i="3"/>
  <c r="E48" i="3" s="1"/>
  <c r="F48" i="14"/>
  <c r="F54" i="14" s="1"/>
  <c r="F39" i="14"/>
  <c r="C15" i="16"/>
  <c r="E15" i="16" s="1"/>
  <c r="E13" i="16"/>
</calcChain>
</file>

<file path=xl/comments1.xml><?xml version="1.0" encoding="utf-8"?>
<comments xmlns="http://schemas.openxmlformats.org/spreadsheetml/2006/main">
  <authors>
    <author>Beatriz Garzon Olaya</author>
  </authors>
  <commentList>
    <comment ref="D9" authorId="0" shapeId="0">
      <text>
        <r>
          <rPr>
            <b/>
            <sz val="9"/>
            <color indexed="81"/>
            <rFont val="Tahoma"/>
            <family val="2"/>
          </rPr>
          <t>Beatriz Garzon Olaya:</t>
        </r>
        <r>
          <rPr>
            <sz val="9"/>
            <color indexed="81"/>
            <rFont val="Tahoma"/>
            <family val="2"/>
          </rPr>
          <t xml:space="preserve">
esta de acuerdo a los procesos de supervision asignados a la coordinación</t>
        </r>
      </text>
    </comment>
    <comment ref="D11" authorId="0" shapeId="0">
      <text>
        <r>
          <rPr>
            <b/>
            <sz val="9"/>
            <color indexed="81"/>
            <rFont val="Tahoma"/>
            <family val="2"/>
          </rPr>
          <t>Beatriz Garzon Olaya:</t>
        </r>
        <r>
          <rPr>
            <sz val="9"/>
            <color indexed="81"/>
            <rFont val="Tahoma"/>
            <family val="2"/>
          </rPr>
          <t xml:space="preserve">
sujeto a asignación </t>
        </r>
      </text>
    </comment>
  </commentList>
</comments>
</file>

<file path=xl/comments2.xml><?xml version="1.0" encoding="utf-8"?>
<comments xmlns="http://schemas.openxmlformats.org/spreadsheetml/2006/main">
  <authors>
    <author>Magda Yamile Alfonso</author>
  </authors>
  <commentList>
    <comment ref="D7" authorId="0" shapeId="0">
      <text>
        <r>
          <rPr>
            <sz val="9"/>
            <color indexed="81"/>
            <rFont val="Tahoma"/>
            <family val="2"/>
          </rPr>
          <t xml:space="preserve">Oficce365
Antivirus
Firewall
</t>
        </r>
      </text>
    </comment>
    <comment ref="D10" authorId="0" shapeId="0">
      <text>
        <r>
          <rPr>
            <sz val="9"/>
            <color indexed="81"/>
            <rFont val="Tahoma"/>
            <family val="2"/>
          </rPr>
          <t>PC
Portatiles
Escaner
Cabina de control (sonido luces)
Discos sistema de almacenamiento 
Camara web</t>
        </r>
      </text>
    </comment>
    <comment ref="D13" authorId="0" shapeId="0">
      <text>
        <r>
          <rPr>
            <sz val="9"/>
            <color indexed="81"/>
            <rFont val="Tahoma"/>
            <family val="2"/>
          </rPr>
          <t>Conexión de red
Servicios en servidores
equipos de comunicación
IPV6</t>
        </r>
      </text>
    </comment>
  </commentList>
</comments>
</file>

<file path=xl/comments3.xml><?xml version="1.0" encoding="utf-8"?>
<comments xmlns="http://schemas.openxmlformats.org/spreadsheetml/2006/main">
  <authors>
    <author>Sbonfanteo</author>
  </authors>
  <commentList>
    <comment ref="G26" authorId="0" shape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List>
</comments>
</file>

<file path=xl/sharedStrings.xml><?xml version="1.0" encoding="utf-8"?>
<sst xmlns="http://schemas.openxmlformats.org/spreadsheetml/2006/main" count="2963" uniqueCount="1442">
  <si>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</si>
  <si>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</si>
  <si>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</si>
  <si>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</si>
  <si>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</si>
  <si>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</si>
  <si>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ACTIVIDAD Nº</t>
  </si>
  <si>
    <t>ENERO</t>
  </si>
  <si>
    <t>FEBRERO</t>
  </si>
  <si>
    <t>MARZO</t>
  </si>
  <si>
    <t>ABRIL</t>
  </si>
  <si>
    <t>MAYO</t>
  </si>
  <si>
    <t>JUNIO</t>
  </si>
  <si>
    <t>JULIO</t>
  </si>
  <si>
    <t>AGOSTO</t>
  </si>
  <si>
    <t>SEPTIEMBRE</t>
  </si>
  <si>
    <t>OCTUBRE</t>
  </si>
  <si>
    <t>NOVIEMBRE</t>
  </si>
  <si>
    <t>DICIEMBRE</t>
  </si>
  <si>
    <t>EJECUTADO</t>
  </si>
  <si>
    <t>ESPERADO</t>
  </si>
  <si>
    <t>1. Promover la asociatividad y la solidaridad  mediante jornadas en las que se exponga el tema solidario y empresarial</t>
  </si>
  <si>
    <t>1,1. Desarrollar campañas de promocion del modelo asociativo solidario</t>
  </si>
  <si>
    <t>500 personas sensibilizadas   participantes de  jornadas de asociatividad solidaria.</t>
  </si>
  <si>
    <t xml:space="preserve">Número de Personas sensibilizadas </t>
  </si>
  <si>
    <t xml:space="preserve">2 actividades de promoción </t>
  </si>
  <si>
    <t xml:space="preserve">Número de Actividades de promoción realizadas </t>
  </si>
  <si>
    <t xml:space="preserve">2. Fomentar y fortalecer organizaciones solidarias, en los sectores: agropecuario, cultura, turismo, minero, inclusion social y otros que se prioricen de acuerdo al PND.
 </t>
  </si>
  <si>
    <t>2,1 Dinamizar organizaciones solidarias, a través de gestión del grupo o contratación para que desarrollen Emprendimiento o mejoren Productividad</t>
  </si>
  <si>
    <t>107 organizaciones dinamizadas y reportadas en la matriz</t>
  </si>
  <si>
    <t>No. De organizaciones solidarias  creadas y  reportadas en registro de OFYF</t>
  </si>
  <si>
    <t>2,2  Reportar aliados estratégicos capacitados en Enfoque de Mejoramiento de vida</t>
  </si>
  <si>
    <t xml:space="preserve"> 8 Aliados estratégicos  capacitadas en enfoque de Mejoramiento de Vida</t>
  </si>
  <si>
    <t>No. De aliados estratégicos capacitados</t>
  </si>
  <si>
    <t>2,3 Reportar   personas  beneficiados  en proyectos para que desarrollen Emprendimiento o mejoren Productividad a través de la creación y el fortalecimiento de organizaciones solidarias en los tema sectoriales, misionales, poblacionales y territoriales que ha desarrollado la entidad.</t>
  </si>
  <si>
    <t>720  personas beneficiadas y reportadas</t>
  </si>
  <si>
    <t xml:space="preserve">No. De personas beneficiadas  con enfoque diferencial reportadas en la matriz </t>
  </si>
  <si>
    <t>2098 personas beneficiadas y reportadas en la matriz</t>
  </si>
  <si>
    <t>Personas beneficiadas y reportadas (en la matriz)</t>
  </si>
  <si>
    <t>3, Implementar modelo integral a la medida  promoviendo el modelo asociativo solidario, como herramienta para la generacion de ingresos</t>
  </si>
  <si>
    <t>3.1 Ejecutar programas integrales a la medida</t>
  </si>
  <si>
    <t>2 programa integral a la medida</t>
  </si>
  <si>
    <t>No. Programas integrales a la medida ejecutados</t>
  </si>
  <si>
    <t>4. Promover y dinamizar redes y cadenas productivas, como vehiculos para el desarrollo de las organizaciones solidarias</t>
  </si>
  <si>
    <t>4.1 Dinamizar Redes o cadenas productivas: Desarrollo de compras locales enfocada en 6 territorios priorizados por la Unidad.</t>
  </si>
  <si>
    <t>6 redes o cadenas productivas promovidas y dinamizadas</t>
  </si>
  <si>
    <t>Núemero de Redes o cadenas promovidas o dinamizadas</t>
  </si>
  <si>
    <t>5, Articular esfuerzos con entes y actores nacionales o territoriales publicos o privados para la promocion de la asociatividad solidaria aprovechando la vocacion productiva de las regiones</t>
  </si>
  <si>
    <t>5.1 Gestionar alianzas para diseñar y ejecutar proyectos para el desarrollo de la asociatividad solidaria en Colombia</t>
  </si>
  <si>
    <t>2 alianzas gestionadas en procesos de fomento y fortalecimiento</t>
  </si>
  <si>
    <t>No. de Alianzas, convenios o contratos realizados</t>
  </si>
  <si>
    <t>6, Actualizar y reportar la información de los procesos productivos  que desarrollen Emprendimiento o mejoren Productividad en las regiones de ejecución de convenios o contratos a cargo del grupo.</t>
  </si>
  <si>
    <t>6,1 Reportar actividades realizadas en las diferentes sectores.</t>
  </si>
  <si>
    <t>4 reportes (trimestral)</t>
  </si>
  <si>
    <t xml:space="preserve">número de reportes </t>
  </si>
  <si>
    <t>7, Desarrollar actividades  por gestion como promoción, sensibilización, creación y fortalecimiento que adelante el grupo.</t>
  </si>
  <si>
    <t xml:space="preserve">7,1 Realizar actividades  por gestion relacionadas con asociatividad </t>
  </si>
  <si>
    <t>3 actividades realizadas y documentadas</t>
  </si>
  <si>
    <t>No. de  actividades realizadas</t>
  </si>
  <si>
    <t>8, Apoyar el desarrollo de las actividades necesarias para la implementación de los criterios de Gobierno en Línea en la Unidad Administrativa Especial de Organizaciones Solidarias.</t>
  </si>
  <si>
    <t>8,1 Atender oportunamente los requerimientos de PQR,  atencion al ciudadano y Gobierno en Línea para la implementar los criterios de la Estrategia  GEL .</t>
  </si>
  <si>
    <t>24 requerimientos atendidos</t>
  </si>
  <si>
    <t>No. De requerimientos atendidos</t>
  </si>
  <si>
    <t>8.2 Atender el Chat de la Unidad de acuerdo con la programación establecida</t>
  </si>
  <si>
    <t>8 semanas de atención al ciudadano por chat</t>
  </si>
  <si>
    <t>No.Semanas de atención al ciudadano por chat realizados</t>
  </si>
  <si>
    <t>TOTAL</t>
  </si>
  <si>
    <t>META</t>
  </si>
  <si>
    <t>AVANCE EJECUTADO POR ACCION</t>
  </si>
  <si>
    <t>AVANCE EJECUTADO Vs % PONDERACIÓN</t>
  </si>
  <si>
    <t xml:space="preserve"> AVANCE EJECUTADO X ACTIVIDAD</t>
  </si>
  <si>
    <t>ACTIVIDADES GENERALES</t>
  </si>
  <si>
    <t>% AVANCE EJECUTADO X ACTIVIDAD</t>
  </si>
  <si>
    <t>% AVANCE ESPERADO X ACTIVIDAD</t>
  </si>
  <si>
    <t>2. Fomentar y fortalecer organizaciones solidarias, en los sectores: agropecuario, cultura, turismo, minero, inclusion social y otros que se prioricen de acuerdo al PND.</t>
  </si>
  <si>
    <t>600 personas sensibilizadas   participantes de  jornadas de asociatividad solidaria con enfasis en enfoque diferencial.</t>
  </si>
  <si>
    <t xml:space="preserve">Numero de Personas sensibilizadas </t>
  </si>
  <si>
    <t>1 evento de promoción con enfoque diferencial para el modelo solidario</t>
  </si>
  <si>
    <t xml:space="preserve">Numero de Actividades de promoción realizadas </t>
  </si>
  <si>
    <t>101 organizaciones dinamizadas y reportadas en la matriz</t>
  </si>
  <si>
    <t>2813  personas beneficiadas y reportadas</t>
  </si>
  <si>
    <t xml:space="preserve"> 14 Procesos precontractuales, contractuales y supervisiones</t>
  </si>
  <si>
    <t>Número Procesos precontractuales, contractuales y supervisiones gestionados</t>
  </si>
  <si>
    <t>101 programas integrales a la medida</t>
  </si>
  <si>
    <t>4.1 Dinamizar Redes o cadenas productivas: Desarrollo de compras locales enfocada en 2 territorios priorizados por la Unidad.</t>
  </si>
  <si>
    <t>2 redes o cadenas productivas promovidas y dinamizadas</t>
  </si>
  <si>
    <t>Numero de Redes o cadenas promovidas o dinamizadas</t>
  </si>
  <si>
    <t>5 actividades realizadas y documentadas</t>
  </si>
  <si>
    <t>1.1 Desarrollar campañas de promocion del modelo asociativo solidario con enfoque diferencial</t>
  </si>
  <si>
    <t>2.1 Dinamizar organizaciones solidarias, a través de gestión del grupo o contratación para que desarrollen Emprendimiento o mejoren Productividad</t>
  </si>
  <si>
    <t>2.2  Generar y continuar  alianzas estrategicas en enfoque diferencial y para diseñar y ejecutar  proyectos para el desarrollo de la asociatividad solidaria en Colombia</t>
  </si>
  <si>
    <t xml:space="preserve"> 6 Aliados estratégicos  capacitadas en Programa Integral de Intervención</t>
  </si>
  <si>
    <t xml:space="preserve">2.3 Gestionar la ejecución de procesos misionales a través de procesos precontractuales, contractuales y supervisiones para el fomento de organizaciones solidarias. </t>
  </si>
  <si>
    <t>5.1 Gestionar alianzas estrategicas para diseñar y ejecutar proyectos de desarrollo de la asociatividad solidaria en Colombia</t>
  </si>
  <si>
    <t>No. de Alianzas gestionadas</t>
  </si>
  <si>
    <t>6.1 Reportar actividades realizadas en las diferentes sectores.</t>
  </si>
  <si>
    <t xml:space="preserve">7.1 Realizar actividades  por gestion relacionadas con asociatividad </t>
  </si>
  <si>
    <t>8.1 Atender oportunamente los requerimientos de PQR,  atencion al ciudadano y Gobierno en Línea para la implementar los criterios de la Estrategia  GEL .</t>
  </si>
  <si>
    <t>12 requerimientos atendidos</t>
  </si>
  <si>
    <r>
      <t xml:space="preserve">ACTIVIDADES GENERALES
 </t>
    </r>
    <r>
      <rPr>
        <sz val="11"/>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</si>
  <si>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</si>
  <si>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</si>
  <si>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</si>
  <si>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</si>
  <si>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</si>
  <si>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1 . Desarrollar campañas de promocion del modelo asociativo solidario</t>
  </si>
  <si>
    <t>1.1 Adelantar jornadas de promoción del modelo asociativo y solidario</t>
  </si>
  <si>
    <t>10 jornadas  de promoción realizadas</t>
  </si>
  <si>
    <t>Número jornadas  de promoción realizadas</t>
  </si>
  <si>
    <t>1.1</t>
  </si>
  <si>
    <t>1000 personas sensibilizadas</t>
  </si>
  <si>
    <t xml:space="preserve">Número Personas sensibilizadas </t>
  </si>
  <si>
    <t xml:space="preserve">1.2 Ferias de Promoción del sector solidario </t>
  </si>
  <si>
    <t xml:space="preserve">1 Feria de Promoción del sector Solidario </t>
  </si>
  <si>
    <t xml:space="preserve">Número de Ferias de Promoción del sector solidario </t>
  </si>
  <si>
    <t>1.2</t>
  </si>
  <si>
    <t xml:space="preserve">1.3  Apoyar las actividades de promoción del modelo asociativo solidario de carácter misional del sector solidario a Nivel Nacional </t>
  </si>
  <si>
    <t xml:space="preserve">1000 personas sensibilizadas </t>
  </si>
  <si>
    <t>1.3</t>
  </si>
  <si>
    <t>2. Fomentar y fortalecer organizaciones solidarias, en los sectores agropecuario, cultura, turismo, minero, inclusion social y otros que se prioricen de acuerdo al PND</t>
  </si>
  <si>
    <t>2.1 Dinamizar emprendimientos  a organizaciones solidarias en los municipios priorizados por el proceso de Pensamiento y Direccionamiento estratégico, mediante la puesta en marcha del plan integral de intervención a la medida</t>
  </si>
  <si>
    <t>88 emprendimientos dinamizados</t>
  </si>
  <si>
    <t>Número Emprendimientos dinamizados</t>
  </si>
  <si>
    <t>2.1</t>
  </si>
  <si>
    <t xml:space="preserve">2286 personas beneficiadas reportadas en la matriz </t>
  </si>
  <si>
    <t>Personas beneficiadas y reportadas</t>
  </si>
  <si>
    <t xml:space="preserve">2.2 Gestionar la ejecución de procesos misionales a través de procesos precontractuales, contractuales y supervisiones para el fomento de organizaciones solidarias. </t>
  </si>
  <si>
    <t xml:space="preserve"> 11 Procesos precontractuales, contractuales y supervisiones</t>
  </si>
  <si>
    <t>2.2</t>
  </si>
  <si>
    <t>2.3 Fortalecimientos organizacionales a iniciativas OVOP</t>
  </si>
  <si>
    <r>
      <t>2</t>
    </r>
    <r>
      <rPr>
        <sz val="11"/>
        <color rgb="FFFF0000"/>
        <rFont val="Arial"/>
        <family val="2"/>
      </rPr>
      <t xml:space="preserve"> </t>
    </r>
    <r>
      <rPr>
        <sz val="11"/>
        <rFont val="Arial"/>
        <family val="2"/>
      </rPr>
      <t>fortalecimientos organizacionales a iniciativas OVOP</t>
    </r>
  </si>
  <si>
    <t>Número Fortalecimientos organizacionales</t>
  </si>
  <si>
    <t>2.3</t>
  </si>
  <si>
    <t>2.4 Procesos de fortalecimiento en emprendimiento asociativo a organismos de acción comunal - OAC</t>
  </si>
  <si>
    <t>3 procesos de fortalecimiento a OAC</t>
  </si>
  <si>
    <t>Número procesos en emprendimiento asociativo a organismos de acción comunal</t>
  </si>
  <si>
    <t>2.4</t>
  </si>
  <si>
    <t>3. Articular esfuerzos con entes y actores nacionales o territoriales publicos o privados para la promocion de la asociatividad solidaria aprovechando la vocacion productiva de las regiones</t>
  </si>
  <si>
    <t xml:space="preserve">3,1 Diseñar  la propuesta de agenda de: 1) Fomento Gremial </t>
  </si>
  <si>
    <t xml:space="preserve">1 Agenda propuesta </t>
  </si>
  <si>
    <t xml:space="preserve">Número de agendas diseñadas </t>
  </si>
  <si>
    <t>3,2 Implementar el modelo de gestión y la ruta del Programa Integral de Intervención a través de las mesas interinsititucionales en los territorios definidos por el proceso de Pensamiento y Direccionamiento estratégico</t>
  </si>
  <si>
    <t>6 mesas interinstitucionales</t>
  </si>
  <si>
    <t>Número Mesas Interinstitucionales atendidas</t>
  </si>
  <si>
    <t>4. Apoyar el desarrollo de las actividades necesarias para la implementación de los criterios de Gobierno en Línea en la Unidad Administrativa Especial de Organizaciones Solidarias</t>
  </si>
  <si>
    <t xml:space="preserve">4.1 Atender oportunamente las peticiones, quejas, reclamos asignados al grupo de trabajo </t>
  </si>
  <si>
    <t>100% de peticiones, quejas y reclamos resueltos, asignadas</t>
  </si>
  <si>
    <t>Número Peticiones, quejas y reclamos resueltas *100</t>
  </si>
  <si>
    <t>4.2 Actualizar y reportar la información de los procesos productivos desarrollados a nivel nacional  en los diferentes sectores productivos, según departamentos asignados</t>
  </si>
  <si>
    <t>3 reportes realizados</t>
  </si>
  <si>
    <t>Número Reportes realizados (abril-agosto-diciembre)</t>
  </si>
  <si>
    <t>1. Implementar Rol de enfoque hacia la prevención</t>
  </si>
  <si>
    <t>1,1 Formular recomendaciones con alcance preventivo</t>
  </si>
  <si>
    <t>100% de los riesgos identificados por parte de la Oficina de Control Interno, en las auditorías a los procesos de la Unidad, con recomendaciones con alcance preventivo</t>
  </si>
  <si>
    <t>(Número de riesgos identificados por parte de la Oficina de Control Interno, con recomendaciones con alcance preventivo / Número de riesgos identificados por parte de la Oficina de Control Interno, en las auditorías a los procesos de la Unidad) *100</t>
  </si>
  <si>
    <t>1,2 Liderar acciones de fomento de la cultura del control</t>
  </si>
  <si>
    <t>11 actividades de fomento de la cultura de control implementadas</t>
  </si>
  <si>
    <t>(número de actividades de fomento de la cultura de control implementadas / 11) *100</t>
  </si>
  <si>
    <t>2. Implementar Rol de Relación con Entes Externos de Control</t>
  </si>
  <si>
    <t>2,1  Facilitar la comunicación entre los entes de control y la UAEOS en caso de visita de auditoría</t>
  </si>
  <si>
    <t>1 acompañamiento realizado</t>
  </si>
  <si>
    <t>(Número de visitas de entes de Control a la Unidad acompañadas por la OCI / Número de visitas de entes de control a la Unidad) *100</t>
  </si>
  <si>
    <t>2,2  Liderar el envío de información requerida por los Entes de Control: 
Contraloría General de la República: 7
Contaduría General de la Nación: 1
Procuraduría General de la Nación: 0
Fiscalía General de la Nación: 0</t>
  </si>
  <si>
    <t>8 Reportes a entes de Control</t>
  </si>
  <si>
    <t>(Número de reportes enviados a Entes de Control / 8 reportes a enviar) * 100</t>
  </si>
  <si>
    <t>3. Implementar Rol de Evaluación de la Gestión del Riesgo</t>
  </si>
  <si>
    <t>3,1  Evaluar los controles del riesgo de gestión</t>
  </si>
  <si>
    <t>4 Seguimientos a Mapa de riesgos de gestión</t>
  </si>
  <si>
    <t>(Número de seguimiento al mapa de riesgos de gestión realizado por la OCI / 4) *100</t>
  </si>
  <si>
    <t>3,2  Evaluar de la gestión del riesgo de corrupción</t>
  </si>
  <si>
    <t>3 seguimientoas a mapa de riesgos de corrupción</t>
  </si>
  <si>
    <t>(Número de seguimiento al mapa de riesgos de corrupción realizado por la OCI / 3) *100</t>
  </si>
  <si>
    <t>4. Implementar Rol de Evaluación y Seguimiento</t>
  </si>
  <si>
    <t>4,1   Implementar el programa de auditorías</t>
  </si>
  <si>
    <t xml:space="preserve">Cumplir con el 100% del programa de auditorías aprobado por parte del Comité Institucional de coordinación de Control Interno </t>
  </si>
  <si>
    <t>(Número de auditorías programadas / número de auditorías realizadas) * 100</t>
  </si>
  <si>
    <t>4,2   Implementar el cronograma de informes y seguimientos aprobado por parte del Comité Institucional de Coordinación de Control Interno</t>
  </si>
  <si>
    <t>Cumplir con el 100% de los Informes y seguimientos programados en el cronograma de informes y seguimientos</t>
  </si>
  <si>
    <t>(Número de informes y seguimientos  emitidos / Número de informes y seguimientos programados) * 100</t>
  </si>
  <si>
    <t>5. Implementar Rol de liderazgo Estratégico</t>
  </si>
  <si>
    <t>5,1   Liderar el desarrollo del Comité Institucional de Coordinación de Control Interno, de conformidad con las funciones establecidas en el artículo 4 del decreto 648 de 2017</t>
  </si>
  <si>
    <t>2 comités</t>
  </si>
  <si>
    <t xml:space="preserve">(Número de comités institucionales de Control Interno programados / Número de comités institucionales de Control Interno realizados) *100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</si>
  <si>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</si>
  <si>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</si>
  <si>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 / Número de Comités desarrollados) *100</t>
  </si>
  <si>
    <t xml:space="preserve">1.  Actualizar de manera participativa con los procesos del SIGOS el normograma insitucional,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</si>
  <si>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t>
  </si>
  <si>
    <t>12 actualizaciones publicadas y socializadas</t>
  </si>
  <si>
    <t>Numero de Actualizaciones publicadas y socializadas.</t>
  </si>
  <si>
    <t>2. Atender los derechos de petición y consultas  jurídicas internas y externas, que sean puestas en conocimiento de la oficina, de acuerdo con la competencia.</t>
  </si>
  <si>
    <t xml:space="preserve">2.1 Emitir respuesta escrita o verbal (directa o telefónica), a las diferentes consultas o derechos de petición que se reciban, de manera oportuna de conformidad con la normatividad aplicable, según el asunto. </t>
  </si>
  <si>
    <t>100% de consultas resueltas oportunamente</t>
  </si>
  <si>
    <t>Numero de Consultas resueltas/ Numero de consultas solicitadas*100</t>
  </si>
  <si>
    <t>3.  Atender las solicitudes de revisión de actos administrativos internos en los aspectos que implican su estructura y normatividad contentiva.</t>
  </si>
  <si>
    <t>3.1 Revisar en su estructura, referencia normativa sobre facultades y capacidad jurídica, las resoluciones por medio de las cuales la entidad acredita para impartir educación solidaria,  remitidas por el Grupo de Educación e Investigación.</t>
  </si>
  <si>
    <t>100% resoluciones de acreditación revisadas</t>
  </si>
  <si>
    <t>Numero de Resoluciones de acreditación revisadas/ Numero de Resoluciones de acreditación solicitadas*100</t>
  </si>
  <si>
    <t>3.1</t>
  </si>
  <si>
    <t>3.2 Atender las solicitudes de revisión de actos administrativos internos de los diferentes procesos del SIGOS, de conformidad con la normatividad aplicable a cada uno de ellos.</t>
  </si>
  <si>
    <t>100%  actos administrativos internos revisados y proyectados.</t>
  </si>
  <si>
    <t>Numero de actos administrativos internos, revisados y proyectados/ actos administrativos internos solicitados*100</t>
  </si>
  <si>
    <t>3.2</t>
  </si>
  <si>
    <t>4. Atender los procesos judiciales en los que la Entidad sea parte, en ejercicio de la defensa de sus intereses.</t>
  </si>
  <si>
    <t>4.1 Atender oportunamente los trámites judiciales que requieran acciones de defensa jurídica en los procesos judicales en los que sea parte la Entidad y mantener actualizada la base de datos.</t>
  </si>
  <si>
    <t>100% Trámites judiciales atendidos oportunamente</t>
  </si>
  <si>
    <t>Numero de Trámites judiciales  atendidos oportunamente/total de tramites judiciales *100</t>
  </si>
  <si>
    <t>4.1</t>
  </si>
  <si>
    <t>4.2 Realizar acividades de seguimiento procesal a los expedientes judiciales en los que la entidad sea parte.</t>
  </si>
  <si>
    <t>24 Registros de seguimiento a los procesos judiciales</t>
  </si>
  <si>
    <t xml:space="preserve">Numero de Registros de seguimiento a los procesos judiciales </t>
  </si>
  <si>
    <t>4.2</t>
  </si>
  <si>
    <t xml:space="preserve">12 visitas a despachos judiciales </t>
  </si>
  <si>
    <t xml:space="preserve">Numero de visitas a despachos judiciales realizadas </t>
  </si>
  <si>
    <t>4.3. Liderar las sesiones del Comité de Conciliación, de conformidad con la normatividad aplicable, dejando registro de sus actuaciones.</t>
  </si>
  <si>
    <t xml:space="preserve">24 Sesiones del Comité de Conciliación con sus respectivas actas. </t>
  </si>
  <si>
    <t xml:space="preserve">Numero de sesiones del Comité de Conciliación reallizadas. </t>
  </si>
  <si>
    <t>4.3</t>
  </si>
  <si>
    <t>5. Realizar  jornadas de capacitación a  los servidores publicos sobre temas jurídicos.</t>
  </si>
  <si>
    <t>5.1 Realizar jornadas de capacitación en temas jurídicos</t>
  </si>
  <si>
    <t>4 Jornadas de capacitación en temas jurídicos.</t>
  </si>
  <si>
    <t xml:space="preserve">Numero de jornadas de capacitación realizdas </t>
  </si>
  <si>
    <t>5.1</t>
  </si>
  <si>
    <t>6. Prestar asistencia y asesoría jurídica en el desarrollo de los procesos que las áreas y grupos de trabajo soliciten, en ejecución del Plan de Compras (inversión y fucnionamiento) de la Unidad Administrativa Especial de Organizaciones Solidarias.</t>
  </si>
  <si>
    <t>6.1 Acompañar jurídicamente a los grupos de trabajo de la entidad, en el desarrollo de las actividades de los procesos que adelanten en cumplimiento del plan de compras.</t>
  </si>
  <si>
    <t>100% de procesos atendidos que soliciten acompañamiento jurídico</t>
  </si>
  <si>
    <t>Numero de procesos atendidos/ Numero de acompañamientos jurídicos solicitados *100</t>
  </si>
  <si>
    <t>6.1</t>
  </si>
  <si>
    <t xml:space="preserve">6,2 Implementacion de la nueva version del  SECOP II, el cual permite pasar de una simple publicidad a una plataforma transaccional que permite a compradores y proveedores realizar el proceso de contratacion en linea. </t>
  </si>
  <si>
    <t xml:space="preserve">100% del Cumplimiento en la implementacion del SECOP II. </t>
  </si>
  <si>
    <t>porcentaje de implementacion del SECOP II</t>
  </si>
  <si>
    <t>6.2</t>
  </si>
  <si>
    <t xml:space="preserve">6.3 Revisar, y mantener actualizado el procesos de gestión contractual. </t>
  </si>
  <si>
    <t>2 Actualizaciones al  proceso de gestión contractual.</t>
  </si>
  <si>
    <t>Numero de Actualizacioners al proceso de gestion contractual</t>
  </si>
  <si>
    <t>6.3</t>
  </si>
  <si>
    <t>7. Apoyar el desarrollo de las actividades necesarias para la implementación de los criterios del Gobierno en Línea en la Unidad Administrativa Especial de Organizaciones Solidarias</t>
  </si>
  <si>
    <t>7.1  Atender oportunamente los requerimientos del Grupo Técnico de Apoyo Gestión de Tics y Gobierno en Línea para implementar los criterios de la Estrategia  GEL para la vigencia 2017.</t>
  </si>
  <si>
    <t>100% de los requerimientos atendidos oportunamente</t>
  </si>
  <si>
    <t xml:space="preserve">Numero de requerimientos atendidos/ Numero de requerimientos solicitados *100 </t>
  </si>
  <si>
    <t>7.1</t>
  </si>
  <si>
    <t xml:space="preserve"> AVANCE ESPERADO X ACTIVIDAD</t>
  </si>
  <si>
    <t>No.  De servidores sensibilizados / Total de servidores * 100</t>
  </si>
  <si>
    <t>100%  de servidores públicos sensibilizados</t>
  </si>
  <si>
    <t>9,1 Promover ejercicios participativos para la identificación de los valores y principios institucionales, su conocimiento e interiorización por parte de los servidores públicos y garantizar su cumplimiento en el ejercicios de sus funciones.</t>
  </si>
  <si>
    <t>Funcionamiento</t>
  </si>
  <si>
    <t>9. Valores</t>
  </si>
  <si>
    <t>No. de mediciones de clima</t>
  </si>
  <si>
    <t>Una (1) medición de clima anual</t>
  </si>
  <si>
    <t>8,1 Realizar medición de clima laboral  y la correspondiente intervención de mejoramiento.</t>
  </si>
  <si>
    <t>8. Clima Organizaciones y Cambio Cultiral</t>
  </si>
  <si>
    <t>No. de entrevistas de retiro / No. de servidores retirados * 100</t>
  </si>
  <si>
    <t xml:space="preserve">100% de entrevistas de retiro </t>
  </si>
  <si>
    <t>7,6 Realizar entrevistas de retiro para identificar las razones por las que los servidores públicos se retiran de la Unidad y elaborar informe acerca de las razones de retiro.</t>
  </si>
  <si>
    <t xml:space="preserve">No. de nóminas tramitadas </t>
  </si>
  <si>
    <t>14 nóminas anuales</t>
  </si>
  <si>
    <t>7,5 Tramitar la nómina y llevar los  registros estadísticos correspondientes</t>
  </si>
  <si>
    <t>No. de situaciones administrativas tramitadas/ No. de situaciones administrativas presentadas * 100</t>
  </si>
  <si>
    <t>100% situaciones administrativas tramitadas</t>
  </si>
  <si>
    <t>7,4 Tramitar las situaciones administrativas y llevar registro estadístico.</t>
  </si>
  <si>
    <t>No. de servidores en horario flexible / No. de servidores de planta</t>
  </si>
  <si>
    <t>100%  pprograma de Horarios Flexibles implementado</t>
  </si>
  <si>
    <t>7,3 Desarrollar el Programa de Horarios Flexibles en la Unidad</t>
  </si>
  <si>
    <t>No. de Dotaciones gestionadas y entregadas a todo el personal que la requiera por norma en los plazos estipulados</t>
  </si>
  <si>
    <t>Tres (3) Dotaciones gestionadas y entregadas</t>
  </si>
  <si>
    <t>7,2 Desarrollar el proceso de dotación de vestido y calzado de labor en la Unidad.</t>
  </si>
  <si>
    <t>No. de teletrabajadores/No. de servidores de planta que ostentan el Teletrabajo</t>
  </si>
  <si>
    <t>100% Programa Implementado</t>
  </si>
  <si>
    <t>7,1 Desarrollar el Programa de Teletrabajo en la Unidad</t>
  </si>
  <si>
    <t>7. Administración del Talento Humano</t>
  </si>
  <si>
    <t>Porcentaje de ejecución del Programa de Medicina del Trabajo mensual</t>
  </si>
  <si>
    <t>100% Programa de Medicina del Trabajo  ejecutado y evaluado</t>
  </si>
  <si>
    <t>6,3 Ejecutar y Evaluar el Programa de Medicina del Trabajo</t>
  </si>
  <si>
    <t>Porcentaje de ejecución del Programa de Higiene y Seguridad mensual</t>
  </si>
  <si>
    <t>100% Programa de Higiene y Seguridad  ejecutado y evaluado</t>
  </si>
  <si>
    <t>6,2 Ejecutar y Evaluar el Programa de Higiene y Seguridad</t>
  </si>
  <si>
    <t>No. SSST actualizado y ajustado</t>
  </si>
  <si>
    <t>1 SSST actualizado y ajustado</t>
  </si>
  <si>
    <t>6,1 Actualizar y ajustar el Sistema de Seguridad y Salud en el Trabajo (Programas de Higiene y Seguridad y Medicina del Trabajo).</t>
  </si>
  <si>
    <t>6. Sistema de Gestión de Seguridad  y Salud en el Trabajo</t>
  </si>
  <si>
    <t>No. de Evaluaciones de eficacia del  Plan de Bienestar</t>
  </si>
  <si>
    <t>Una  (1) evaluación</t>
  </si>
  <si>
    <t xml:space="preserve">5,3 Evaluarr el Plan de Bienestar e Incentivos  </t>
  </si>
  <si>
    <t>Porcentaje de jecución del Plan de Bienestar mensual</t>
  </si>
  <si>
    <t>100% Plan de Bienestar ejecutado</t>
  </si>
  <si>
    <t xml:space="preserve">5,2 Ejecutar el Plan de Bienestar e Incentivos  </t>
  </si>
  <si>
    <t xml:space="preserve"> No. Planes de Bienestar e Incentivos  </t>
  </si>
  <si>
    <t xml:space="preserve">1 Plan de Bienestar e Incentivos  </t>
  </si>
  <si>
    <t xml:space="preserve">5,1 Elaborar el Plan de Bienestar e Incentivos  teniendo en cuenta:
Diagnóstico de necesidaees
</t>
  </si>
  <si>
    <t>5. Bienestar</t>
  </si>
  <si>
    <t>No Evaluación de eficacia del  Plan documentada</t>
  </si>
  <si>
    <t>Una evaluación del PIC</t>
  </si>
  <si>
    <t>4,3 Evaluar el Plan Insticional de Capacitación</t>
  </si>
  <si>
    <t>(Número de horas ejecutadas de capacitación / Número de horas definidas) x 100</t>
  </si>
  <si>
    <t>100% Ejecución del PIC</t>
  </si>
  <si>
    <t>4,2 Ejecutar  el Plan Insticional de Capacitación</t>
  </si>
  <si>
    <t>No. Plan de Capacitación establecido mediante resolucón</t>
  </si>
  <si>
    <t>1 Plan Institucional de Capacitación</t>
  </si>
  <si>
    <t>4,1 Elaborar el Plan Institucional de Capacitación teniendo en cuenta:
Diagnóstico de necesidaees
Formulación proyectosde aprendizaje</t>
  </si>
  <si>
    <t>4. Capacitación</t>
  </si>
  <si>
    <t>No. Acuerdos de Gestión</t>
  </si>
  <si>
    <t>3 de Acuerdos de Gestión</t>
  </si>
  <si>
    <t>3,4 Facilitar el proceso de Acuerdos de Gestión con la suscripción  y registro de información de la evaluación de los acuerdos.</t>
  </si>
  <si>
    <t>Planes de mejoramiento establecidos / Total de servidores * 100</t>
  </si>
  <si>
    <t xml:space="preserve">100% Planes de Mejoramiento </t>
  </si>
  <si>
    <t>3,3 Establecer y hacer seguimiento a los planes de mejoramiento indivual teniendo en cuenta: Evaluación del Desempeño</t>
  </si>
  <si>
    <t>No. de evaluaciones / Total de servidores*100</t>
  </si>
  <si>
    <t>100% Evaluaciones del Desempeño Laboral</t>
  </si>
  <si>
    <t>3,2 Llevar a cabo las labores de evaluación del desempeño de conformidad con la normatividad vigente y los registros correspondientes a la Primera Evaluación Parcial Semestral</t>
  </si>
  <si>
    <t>3,1 Llevar a cabo las labores de evaluación del desempeño de conformidad con la normatividad vigente y los registros correspondientes a la Evaluación Segunda Evaluación Parcial Semestral y Definitiva en período Anual u Ordinario.</t>
  </si>
  <si>
    <t>3. Gestión del Desempeño</t>
  </si>
  <si>
    <t>No. de Reinducciones</t>
  </si>
  <si>
    <t>1 Reinducción Anual</t>
  </si>
  <si>
    <t>2,2 Realizar reinducción a todos los servidores públicos cada año.</t>
  </si>
  <si>
    <t>No. de inducciones realizadas/No. de funcionarios y contratistas*100</t>
  </si>
  <si>
    <t>100% de inducción a servidores públicos (Planta y Contratitas) de la UAEOS</t>
  </si>
  <si>
    <t>2,1 Realizar inducción a todos los servidores públicos que se vinculen a la Unidad.</t>
  </si>
  <si>
    <t>2. Conocimiento Institucional</t>
  </si>
  <si>
    <t>N° Hojas de vinculadas al SIGEP/ No. de Actas de Posesión * 100</t>
  </si>
  <si>
    <t>100% de las hojas de vida vinculadas al SIGEP</t>
  </si>
  <si>
    <t>1,1 Gestionar la información en el SIGEP</t>
  </si>
  <si>
    <t>1. Conocimiento Normativo y del Entorno</t>
  </si>
  <si>
    <t>1. Elaborar en coordinación con el Grupo de Planeación y Estadística el Anteproyecto de Presupuesto de la Entidad</t>
  </si>
  <si>
    <t>1.1 Proyectar el anteproyecto de funcionamiento en articulación con los Grupos  de Gestión Administrativa, Gestión Humana, Tecnologías de la Información, Planeación y estadísitica y con la Oficina Asesora Jurídica.</t>
  </si>
  <si>
    <t>1 Anteproyecto de funcionamanieto proyectado</t>
  </si>
  <si>
    <t>Numero de anteproyecto de funcionamiento proyectado</t>
  </si>
  <si>
    <t>1.2 Registrar ante las autoridades presupuestales el anteproyecto de presupuesto en articulación el Grupo de Planeación y Estadística.</t>
  </si>
  <si>
    <t>1 Anteproyecto de presupuesto registrado</t>
  </si>
  <si>
    <t>Numero anteproyecto de presupuesto registrado</t>
  </si>
  <si>
    <t>2. Reportar información contable en condiciones de oportunidad y razonabilidad como insumo para informes a los diferentes entes de control y de interes para la ciudadania en general.</t>
  </si>
  <si>
    <t>2.1  Reportar estado de situacion financiera de apertura convergencia y cargar en los sistemas de informacion los saldos iniciales de los activos , pasivos, patrimonio y cuentas de orden de acuerdo con los criterios del nuevo marco normativo.</t>
  </si>
  <si>
    <t>1 Estado de Situacion Financiera-convergencia</t>
  </si>
  <si>
    <t>Numero de estados de Situacion Financiera-convergencia</t>
  </si>
  <si>
    <t>2.2  Elaborar y presentar el informe Consolidador de Hacienda e Información Pública (CHIP) a la Contaduría General de la Nación en condiciones de razonabilidad y oportunidad.</t>
  </si>
  <si>
    <t>4 informes elaborados y presentados</t>
  </si>
  <si>
    <t>Numero de Informes elaborados y presentados</t>
  </si>
  <si>
    <t>2.3  Elaborar y presentar los estados financieros mensuales en codiciones de razonabilidad, emitiendo las recomendaciones y conceptos que surjan de su análisis.</t>
  </si>
  <si>
    <t>36 estados financieros elaborados y presentados(3 de 2017 y 33 de 2018).</t>
  </si>
  <si>
    <t>Numero de estados financieros elaborados y presentados</t>
  </si>
  <si>
    <t xml:space="preserve"> 3 estado de flujo de efectivo trimestral</t>
  </si>
  <si>
    <t xml:space="preserve">Numero de estados de flujo de efectivo trimetral </t>
  </si>
  <si>
    <t>2.4  Elaborar y presentar las declaraciones tributaras e informes requeridos por los organismos competentes en el orden nacional y distrital.</t>
  </si>
  <si>
    <t>18 declaraciones elaboradas y presentadas</t>
  </si>
  <si>
    <t>Numero  de declaraciones presentadas</t>
  </si>
  <si>
    <t>3 informes elaborados y presentados</t>
  </si>
  <si>
    <t>Numero de informes elaborados</t>
  </si>
  <si>
    <t>3. Consolidar información presupuestal en condiciones de oportunidad y razonabilidad para el control y la toma de decisiones.</t>
  </si>
  <si>
    <t>3.1 Asesorar a la Dirección y tramitar ante el ente competente las modificaciones presupuestales (Adiciones y traslados), que sean necesarios y que mejoren el nivel de ejecución para el funcionamiento de la Entidad.</t>
  </si>
  <si>
    <t>100% de solicitudes de modificación aprobadas</t>
  </si>
  <si>
    <t>Solicitudes de modificaciones presupuestales aprobadas/Solicitudes de modificaciones presupuestales X 100</t>
  </si>
  <si>
    <t>3.2 Elaborar y presentar los informes de ejecución presupuestal en codiciones de razonabilidad, como soporte para la toma de decisiones de la Dirección Nacional.</t>
  </si>
  <si>
    <t>4 informes trimestrales elaborados y presentados</t>
  </si>
  <si>
    <t>Numero de informes elaborados y presentados</t>
  </si>
  <si>
    <t>3.3 Realizar el respectivo seguimiento y asesoría en la ejecución presupuestal y entregar las respectivas alarmas sobre los niveles de ejecución y cumplimiento de la normatividad correspondiente.</t>
  </si>
  <si>
    <t>24 reportes de seguimiento con sus respectivas alarmas</t>
  </si>
  <si>
    <t>Numero de reportes de seguimiento realizados</t>
  </si>
  <si>
    <t>3.3</t>
  </si>
  <si>
    <t xml:space="preserve">4. Garantizar la ejecución presupuestal medida en pagos y gestión del PAC en condiciones de oportunidad </t>
  </si>
  <si>
    <t>4.1     Gestionar y registrar las solicitudes y modificaciones al PAC para vigencia y rezago mensualmente en el SllF Nación de acuerdo a los lineamentos de la Dirección General de Crédito Público y del Tesoro Nacional, a las necesidades de pago previstas para la ejecución de contratos y convenios y a la Circular Interna prevista para el manejo del PAC.</t>
  </si>
  <si>
    <t>100% de solicitudes de PAC Aprobadas</t>
  </si>
  <si>
    <t>Solicitudes de PAC aprobadas/ Solicitudes de PAC tramitadas  X 100</t>
  </si>
  <si>
    <t>4.2 Autorizar los pagos de las obligaciones generadas en condiciones de oportunidad, garantizando la disponibilidad de recursos y la verificación de condiciones financieras necesarias para proceder con los pagos.</t>
  </si>
  <si>
    <t xml:space="preserve">100% de pagos autorizados </t>
  </si>
  <si>
    <t>Pagos autorizados /Pagos tramitados X 100</t>
  </si>
  <si>
    <t>5. Apoyar el desarrollo de las activiades necesarias para las implementación de los criterios del Gobierno en Línea en la Unidad Administrativa Especial de Organizaciones Solidarias.</t>
  </si>
  <si>
    <t>5.1 Atender oportunamente los requerimientos del Grupo Técnico de Apoyo Gestión de Tics y Gobierno en Línea para implementar los criterios de la Estrategia  GEL para la vigencia 2017.</t>
  </si>
  <si>
    <t>Requerimientos atendidos/Requerimientos atendidos X 100</t>
  </si>
  <si>
    <t>Gestión Administrativa</t>
  </si>
  <si>
    <t xml:space="preserve">1. Realizar las actividades necesarias que garanticen la adecuada ejecución del plan anual de adquisiciones. </t>
  </si>
  <si>
    <t>1.1. Formular, consolidar, publicar y actualizar  el plan anual de adquisiciones de la vigencia bajo los parámetros establecidos por Colombia Compra Eficiente y el Decreto 1082 de 2015.</t>
  </si>
  <si>
    <t>1 plan anual de adquisiciones publicado</t>
  </si>
  <si>
    <t xml:space="preserve">numero de planes anuales de adquisiciones publicados </t>
  </si>
  <si>
    <t>2 actualizaciones al plan anual de adqusiciones</t>
  </si>
  <si>
    <t>Plan anual de adquisiciones actualizado</t>
  </si>
  <si>
    <t xml:space="preserve">1.2. Adelantar los procesos pre contractuales requeridos para el normal funcionamiento de la entidad. </t>
  </si>
  <si>
    <t>43 procesos pre contractuales</t>
  </si>
  <si>
    <t>Procesos pre contractuales terminados</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</si>
  <si>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</si>
  <si>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</si>
  <si>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 inventarios generales </t>
  </si>
  <si>
    <t xml:space="preserve">numero de inventarios generales </t>
  </si>
  <si>
    <t xml:space="preserve">2.2. Proyectar y presentar a contabilidad los informes periodicos de conformidad con los parámetros definidos en el manual de bienes y en el manual de políticas y prácticas contables - política de propiedad, planta y equipo.   </t>
  </si>
  <si>
    <t>16 informes</t>
  </si>
  <si>
    <t xml:space="preserve"> numero de  informes</t>
  </si>
  <si>
    <t xml:space="preserve">2.3. Adelantar un proceso de baja de bienes de conformidad con los parámetros establecidos en el manual de bienes </t>
  </si>
  <si>
    <t>1 proceso de baja de bienes</t>
  </si>
  <si>
    <t>3. Adoptar el Sistema de Gestión Ambiental en la U.A.E.O.S.</t>
  </si>
  <si>
    <t>3.1. Realizar actividades de promoción y sensibilización medioambiental en la Entidad.</t>
  </si>
  <si>
    <t>Un (1) sistema de Gestión Ambiental Implementado</t>
  </si>
  <si>
    <t>Actividades de sensibilización y promoción del sistema ejecutadas.</t>
  </si>
  <si>
    <t>3.2. Disminuir el consumo de energia de la entidad frente la vigencia 2017.</t>
  </si>
  <si>
    <t>Reducir el consumo de enerigia  en un 5%, frente la vigencia 2017.</t>
  </si>
  <si>
    <t>Porcentaje  de reducción del consumo de energia electrica Institucional.</t>
  </si>
  <si>
    <t xml:space="preserve">3.3.Reducir el consumo de papel en los grupos de gestión de la entidad </t>
  </si>
  <si>
    <t>Reducir el consumo de papel en un 5%, frente la vigencia 2017.</t>
  </si>
  <si>
    <t>Porcentaje  de reducción del consumo de papel Institucional.</t>
  </si>
  <si>
    <t>3.3.</t>
  </si>
  <si>
    <t>4. Contar con la infraestructura necesaria y adecuada para el funcionamiento de la Unidad Administrativa Especial de Organizaciones Solidarias.</t>
  </si>
  <si>
    <t>4.1. Adelantar estudios técnicos de las necesidades de infraestructura de la Unidad Administrativa Especial de Organizaciones Soliddarias</t>
  </si>
  <si>
    <t>Dos (2) estudios técnicos realizados.</t>
  </si>
  <si>
    <t>No. De Estudios Técnicos Programados / No. De Estudios Técnicos realizados *100.</t>
  </si>
  <si>
    <t>4.2. Realizar interventoria a los procesos de adquisición o adecuación de infraestructura</t>
  </si>
  <si>
    <t>1 procesos de interventoria  realizados.</t>
  </si>
  <si>
    <t>No. De Interventorias Programadas / No. De Interventorias realizadas *100.</t>
  </si>
  <si>
    <t>4.3. Realizar las adecuaciones necesarias a la infraestructura de la Entidad.</t>
  </si>
  <si>
    <t>Realizar una (1) obra de adecuación al cuatro piso de la Entidad.</t>
  </si>
  <si>
    <t>Porcentaje de avance de la obra.</t>
  </si>
  <si>
    <t>4.4. Adquirir el Molibiario Requerido para el Funcionamiento de la Entidad.</t>
  </si>
  <si>
    <t>Diez (10) Mobiliarios Adquiridos</t>
  </si>
  <si>
    <t>Cantidad de mobiliario Requerido / Cantidad de Mobiliario Adquirido.</t>
  </si>
  <si>
    <t>5.1. Implementar el Sistema integrado de conservación documental de la U.A.E.O.S.</t>
  </si>
  <si>
    <t>100% del sistema Integrado de Conservación Documental  Implementado</t>
  </si>
  <si>
    <t>Porcentaje del Sistema integrado de conservación implementado.</t>
  </si>
  <si>
    <t>5..2. Implementar el Sistema de Gestión Documental de la U.A.E.O.S.</t>
  </si>
  <si>
    <t>2. Planes especificios del PGD Formulados</t>
  </si>
  <si>
    <t>numero de planes Especificos del PGD Implementados.</t>
  </si>
  <si>
    <t>5..3 Asesorar y acompañar el proceso de transferencias documentales primarias de los archivos de gestión de las dependencias de la entidad.</t>
  </si>
  <si>
    <t>13 Transferencias documentales primarias</t>
  </si>
  <si>
    <t>porcentaje de transferencias documentales realizadas.</t>
  </si>
  <si>
    <t>5.4. Organizar archvística y técnicamente los fondos documentales de la UAEOS</t>
  </si>
  <si>
    <t>200 metros lineales organizados</t>
  </si>
  <si>
    <t>5.5. Digitalizar Documentos Escenciales</t>
  </si>
  <si>
    <t>80 metros lineales digitalizados</t>
  </si>
  <si>
    <t xml:space="preserve">6.1. Mejoramiento del Aplicativo de Gestión Documental de la U.A.E.O.S. </t>
  </si>
  <si>
    <t>100% Documentación técnicamente organizada y disponible en medio fisico y eletrónico.</t>
  </si>
  <si>
    <t>porcentaje de documentación organizada y disponible en medio fisico y electrónico.</t>
  </si>
  <si>
    <t>6.2  Contribuir desde la gestión documental a la implementación de la estrategia GEL e  Indice de Transparencia y Acceso a la Información.</t>
  </si>
  <si>
    <t>100% de los requerimientos efectuados por TI atendidos oportunamente.</t>
  </si>
  <si>
    <t>N° Requerimientos atendidos/N° requerimientos solicitados*100</t>
  </si>
  <si>
    <t xml:space="preserve">5. Garantizar una adecuada administración del sistema de  gestión documental de la entidad, de tal forma que la información institucional sea recuperable para su uso en el servicio al ciudadano y como fuente de la Historia. </t>
  </si>
  <si>
    <t>6.Optimizar el funcionamiento de la plataforma técnologica  para la administración del sistema de gestión documental de la entidad.</t>
  </si>
  <si>
    <r>
      <t xml:space="preserve">FUENTE DE RECURSOS    </t>
    </r>
    <r>
      <rPr>
        <sz val="11"/>
        <color indexed="8"/>
        <rFont val="Arial Narrow"/>
        <family val="2"/>
      </rPr>
      <t>(Especifique el proyecto de inversión o la fuente de recuersos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</si>
  <si>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t>
    </r>
    <r>
      <rPr>
        <sz val="11"/>
        <rFont val="Arial Narrow"/>
        <family val="2"/>
      </rPr>
      <t>Máximo cuatro actividades específicas-)</t>
    </r>
  </si>
  <si>
    <t xml:space="preserve">1. Difundir la cultura de la asociatividad solidaria, a través de medios de comunicación y organización de eventos </t>
  </si>
  <si>
    <t>1.1.Realizar eventos de promocion y fortalecimiento del mensaje asociativo solidario</t>
  </si>
  <si>
    <t>2 ferias de posicionamiento  de la Unidad y del sector solidario realizadas</t>
  </si>
  <si>
    <t>Número de ferias de posicionamiento realizadas</t>
  </si>
  <si>
    <t>1.2.  Asegurar la promoción y difusión de la gestión de la Unidad  en los medios masivos de comunicación y del sector solidario.</t>
  </si>
  <si>
    <t>136 noticias de la Unidad  publicadas en los medios masivos de comunicación y del sector solidario.</t>
  </si>
  <si>
    <t>Número de noticias de la Unidad publicadas</t>
  </si>
  <si>
    <t>1.3.  Elaborar artículos sobre la gestión institucional para su publicación en medios de comunicación del sector solidario</t>
  </si>
  <si>
    <t>12 articulos de la Unidad redactados para medios del sector solidario</t>
  </si>
  <si>
    <t>Número de artículos de la Unidad redactados</t>
  </si>
  <si>
    <t>1.4. Divulgar los avances de la gestión misional de la Unidad Administrativa Especial de Organizaciones Solidarias y del sector solidario</t>
  </si>
  <si>
    <t>1 Audiencia Pública de Rendición de Cuentas</t>
  </si>
  <si>
    <t>Número de audiencias públicas emitidas</t>
  </si>
  <si>
    <t>1.4</t>
  </si>
  <si>
    <t xml:space="preserve">1.5. Elaborar  monitoreo de prensa para hacer seguimiento a información relacionada con la Unidad y el sector solidario </t>
  </si>
  <si>
    <t xml:space="preserve">240   monitoreos de prensa enviados a todos los funcionarios de la Unidad </t>
  </si>
  <si>
    <t>Número de monitoreo de prensa realizados</t>
  </si>
  <si>
    <t>1.5</t>
  </si>
  <si>
    <t>2.  Diseñar e implementar una estrategia  digital para fortalecer la difusión de la gestión institucional a través de plataformas virtuales de la Unidad</t>
  </si>
  <si>
    <t xml:space="preserve">2.1. Incrementar el número de personas informadas a través de los medios de comunicación digitales de la Unidad,  teniendo como base el acumulado de visitantes web desde el 2014 y nuevos seguidores en redes sociales </t>
  </si>
  <si>
    <t>20% más de personas informadas con respecto a la vigencia 2017. (296.011)</t>
  </si>
  <si>
    <t xml:space="preserve">Porcentaje de Incremento de personas informadas </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</si>
  <si>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</si>
  <si>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</si>
  <si>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auditovisuales publicados</t>
  </si>
  <si>
    <t xml:space="preserve">2.3. Formular y desarrollar 12 campañas de comunicación digital </t>
  </si>
  <si>
    <t>12 Campañas de comunicación digital</t>
  </si>
  <si>
    <t>Número de campañas de comunicación digital realizadas</t>
  </si>
  <si>
    <t>2.4. Producir contenidos para el canal de Youtube de la Entidad para fortalecer estrategia digital de comunicaciónes</t>
  </si>
  <si>
    <t xml:space="preserve">24 contenidos para el canal de Youtube  de la entidad realizados </t>
  </si>
  <si>
    <t xml:space="preserve">Número de contenidos  realizados </t>
  </si>
  <si>
    <t>2.5 Incrementar el número de seguidores en medios sociales virtuales</t>
  </si>
  <si>
    <t>2.100 nuevos seguidores en redes sociales (línea base 32.760 a 2017)</t>
  </si>
  <si>
    <t xml:space="preserve">Número de nuevos seguidores </t>
  </si>
  <si>
    <t>2.5</t>
  </si>
  <si>
    <t>2.6. Diseñar y publicar boletines virtuales externos con información de relevancia para el sector y la entidad</t>
  </si>
  <si>
    <t>50 boletines externos enviados</t>
  </si>
  <si>
    <t>Número de boletines externos enviados</t>
  </si>
  <si>
    <t>2.6</t>
  </si>
  <si>
    <t>3. Diseñar e implementar una estrategia audiovisual para fortalecer la difusión de la gestión institucional</t>
  </si>
  <si>
    <t>3.1.  Asegurar la producción de 2 mensajes institucionales (Código Cívico) susceptible de ser trasnmitidos por canales de tevisión nacional y regional</t>
  </si>
  <si>
    <t>2 mensajes institucionales producido</t>
  </si>
  <si>
    <r>
      <t xml:space="preserve">
</t>
    </r>
    <r>
      <rPr>
        <sz val="11"/>
        <rFont val="Arial"/>
        <family val="2"/>
      </rPr>
      <t>Número de mensajes  institucionaes producidos</t>
    </r>
  </si>
  <si>
    <t>3.2.  Diseñar y producir piezas divulgativas que apoyen la gestión de los procesos misionales</t>
  </si>
  <si>
    <t>4 ediciones de la Revista Institucional diseñadas y producidas</t>
  </si>
  <si>
    <t>Número de ediciones de revista institucional editadas, diseñadas y producidas</t>
  </si>
  <si>
    <t>3.3.  Asegurar  la edición, el diseño y producción  de 2 plegables institucionales</t>
  </si>
  <si>
    <t>2 plegables institucionales editados, diseñados y producidos</t>
  </si>
  <si>
    <t>Número de plegables editados, diseñados y producidos</t>
  </si>
  <si>
    <t>3.4. Producir contenidos sobre asociatividad solidaria en medios de comunicación.</t>
  </si>
  <si>
    <t xml:space="preserve">15 programas de televisión producidos y emitidos </t>
  </si>
  <si>
    <t>Número de programas de televisión producidos y emitidos</t>
  </si>
  <si>
    <t>3.4</t>
  </si>
  <si>
    <t>4. Diseñar e implementar una estrategia  de comunicación interna para fortalecer  la divulgación y conocimiento de los procesos internos de la Unidad</t>
  </si>
  <si>
    <t xml:space="preserve">4.1. Adelantar actividades de comunicación interna para visibilizar la gestión de los diferentes procesos de la entidad. </t>
  </si>
  <si>
    <t xml:space="preserve">6 actividades  de comunicación interna </t>
  </si>
  <si>
    <t>Número de actividades de comunicación interna realizadas</t>
  </si>
  <si>
    <t>4.2. Redactar y publicar en la Intranet contenidos de interés para los servidores públicos de la entidad</t>
  </si>
  <si>
    <t>450 notas con información relevante publicadas en la intranet.</t>
  </si>
  <si>
    <t>Número de notas publicadas en la Intranet</t>
  </si>
  <si>
    <t>4.3. Diseñar y publicar boletines ecológicos con información de relevancia para los funcionarios de la entidad.</t>
  </si>
  <si>
    <t xml:space="preserve">25  boletines ecológicos elaborados y  enviados </t>
  </si>
  <si>
    <t>Número de boletines ecológicos elaborados y enviados</t>
  </si>
  <si>
    <t xml:space="preserve">4.4. Producir y publicar videos de la cultura organizacional para fortalecer el número de visitas de  la intranet </t>
  </si>
  <si>
    <t>50 videos producidos y publicados en la intranet</t>
  </si>
  <si>
    <t xml:space="preserve">Número de videos producidos y publicados </t>
  </si>
  <si>
    <t>4.4</t>
  </si>
  <si>
    <t>5. Realizar las actividades responsabilidad del Grupo de Comunicaciones y Prensa para el Plan Anticorrupción y de Atención al Ciudadano</t>
  </si>
  <si>
    <t>5.1. Asegurar el cumplimiento de las actividades del Plan Anticorrupción y Atención al Ciudadano responsabilidad del Grupo de Comunicaciones y Prensa</t>
  </si>
  <si>
    <t xml:space="preserve">Cumplimiento del 100% de las actividades responsabilidad del Grupo de Comunicaciones y Prensa en el marco del Plan Anticorrupción y de Atención al Ciudadano </t>
  </si>
  <si>
    <t>Porcentaje de cumplimiento de las actividades del Plan Anticorrupción y de Atención al Ciudadano</t>
  </si>
  <si>
    <t>1. Ampliar la oferta de formación en el modelo asociativo solidario y en temáticas que contribuyan a su desarrollo</t>
  </si>
  <si>
    <r>
      <rPr>
        <b/>
        <sz val="11"/>
        <rFont val="Arial"/>
        <family val="2"/>
      </rPr>
      <t xml:space="preserve">1.1. </t>
    </r>
    <r>
      <rPr>
        <sz val="11"/>
        <rFont val="Arial"/>
        <family val="2"/>
      </rPr>
      <t xml:space="preserve">Actualizar el documento de  lineamientos curriculares,  en articulación con el Ministerio de Educación y otros actores identificados </t>
    </r>
  </si>
  <si>
    <t xml:space="preserve">100% de documento de lineamientos curriculares actualizado </t>
  </si>
  <si>
    <t>(No. de documentos actualizados /  No. de documentos existentes ) x 100</t>
  </si>
  <si>
    <r>
      <rPr>
        <b/>
        <sz val="11"/>
        <rFont val="Arial"/>
        <family val="2"/>
      </rPr>
      <t>1.2.</t>
    </r>
    <r>
      <rPr>
        <sz val="11"/>
        <rFont val="Arial"/>
        <family val="2"/>
      </rPr>
      <t xml:space="preserve"> Actualizar el Programa Integral de Intervención</t>
    </r>
  </si>
  <si>
    <t xml:space="preserve">100% de documento de Programa Integral actualizado </t>
  </si>
  <si>
    <r>
      <rPr>
        <b/>
        <sz val="11"/>
        <rFont val="Arial"/>
        <family val="2"/>
      </rPr>
      <t xml:space="preserve">1.3 </t>
    </r>
    <r>
      <rPr>
        <sz val="11"/>
        <rFont val="Arial"/>
        <family val="2"/>
      </rPr>
      <t xml:space="preserve">Diseñar la estrategia de educación solidaria en ambientes virtuales </t>
    </r>
  </si>
  <si>
    <t>100% Programa de formación en  Curso Virtual Básico de Economía Solidaria actualizado</t>
  </si>
  <si>
    <t>(No. de estrategias diseñadas /  No. de estrategias a diseñar) x 100</t>
  </si>
  <si>
    <r>
      <rPr>
        <b/>
        <sz val="11"/>
        <rFont val="Arial"/>
        <family val="2"/>
      </rPr>
      <t>1.4</t>
    </r>
    <r>
      <rPr>
        <sz val="11"/>
        <rFont val="Arial"/>
        <family val="2"/>
      </rPr>
      <t xml:space="preserve"> Diseñar o actualizar programas de formación en modelos asociativos solidarios virtuales</t>
    </r>
  </si>
  <si>
    <t>100% de dos Programas de formación virtual diseñados o actualizados</t>
  </si>
  <si>
    <t>(No. de programas de formación diseñadas /  No. de programas de formación a diseñar) x 100</t>
  </si>
  <si>
    <r>
      <rPr>
        <b/>
        <sz val="11"/>
        <rFont val="Arial"/>
        <family val="2"/>
      </rPr>
      <t>1.5</t>
    </r>
    <r>
      <rPr>
        <sz val="11"/>
        <rFont val="Arial"/>
        <family val="2"/>
      </rPr>
      <t xml:space="preserve"> Diseñar o actualizar siete herramientas de los paquetes solidarios del  Programa Integral</t>
    </r>
  </si>
  <si>
    <t>100% de las 7 herramientas de programas de formación en modelos asociativos solidarios diseñadas o ajustadas</t>
  </si>
  <si>
    <t>(No. de herramientas diseñadas /  No. de herramientas a diseñar) x 100</t>
  </si>
  <si>
    <r>
      <rPr>
        <b/>
        <sz val="11"/>
        <rFont val="Arial"/>
        <family val="2"/>
      </rPr>
      <t>1.6.</t>
    </r>
    <r>
      <rPr>
        <sz val="11"/>
        <rFont val="Arial"/>
        <family val="2"/>
      </rPr>
      <t xml:space="preserve"> Implementar cuatro programas de educación solidaria para el fomento de la asociatividad, en la modalidad presencial</t>
    </r>
  </si>
  <si>
    <t>100% de los 4 programas de educación solidaria implementados</t>
  </si>
  <si>
    <t>(No. de programas de formación implementados /  No. de programas de formación a implementar) x 100</t>
  </si>
  <si>
    <t>1.6</t>
  </si>
  <si>
    <r>
      <rPr>
        <b/>
        <sz val="11"/>
        <rFont val="Arial"/>
        <family val="2"/>
      </rPr>
      <t>1.7</t>
    </r>
    <r>
      <rPr>
        <sz val="11"/>
        <rFont val="Arial"/>
        <family val="2"/>
      </rPr>
      <t xml:space="preserve"> Implementar dos programas de educación solidaria para el fomento de la asociatividad, en la modalidad virtual</t>
    </r>
  </si>
  <si>
    <t>100% de los 2 programas virtuales de educación solidaria implementados</t>
  </si>
  <si>
    <t>1.7</t>
  </si>
  <si>
    <r>
      <t xml:space="preserve">1.8  </t>
    </r>
    <r>
      <rPr>
        <sz val="11"/>
        <rFont val="Arial"/>
        <family val="2"/>
      </rPr>
      <t>Publicar siete herramientas de los paquetes solidarios del  Programa Integral</t>
    </r>
  </si>
  <si>
    <t>100%  de 7 herramientas publicadas</t>
  </si>
  <si>
    <t>No. de herramientas publicadas</t>
  </si>
  <si>
    <t>1.8.</t>
  </si>
  <si>
    <r>
      <rPr>
        <b/>
        <sz val="11"/>
        <rFont val="Arial"/>
        <family val="2"/>
      </rPr>
      <t xml:space="preserve">1.9 </t>
    </r>
    <r>
      <rPr>
        <sz val="11"/>
        <rFont val="Arial"/>
        <family val="2"/>
      </rPr>
      <t xml:space="preserve">Adelantar seguimiento a la implementación del Programa Formar para Emprender, en instituciones educativas </t>
    </r>
  </si>
  <si>
    <t>100% de colegios atendidos con el Programa Formar para Emprender, con visita de seguimiento</t>
  </si>
  <si>
    <t>(No. de seguimientos adelantados / No. de Colegios atendidos con el Programa Formar para Emprender) x 100</t>
  </si>
  <si>
    <t>1.9</t>
  </si>
  <si>
    <r>
      <rPr>
        <b/>
        <sz val="11"/>
        <rFont val="Arial"/>
        <family val="2"/>
      </rPr>
      <t xml:space="preserve">1.10 </t>
    </r>
    <r>
      <rPr>
        <sz val="11"/>
        <rFont val="Arial"/>
        <family val="2"/>
      </rPr>
      <t>Adelantar seguimiento a la implementación del Programa Integral, en municipios piloto de PLANFES</t>
    </r>
  </si>
  <si>
    <t>4 municipios pilotos PLANFES  atendidos con visita de seguimiento</t>
  </si>
  <si>
    <t>No. de monitoreos a la implementación del Programa Integral de Intervención</t>
  </si>
  <si>
    <t>1.10</t>
  </si>
  <si>
    <r>
      <rPr>
        <b/>
        <sz val="11"/>
        <rFont val="Arial"/>
        <family val="2"/>
      </rPr>
      <t>1.11.</t>
    </r>
    <r>
      <rPr>
        <sz val="11"/>
        <rFont val="Arial"/>
        <family val="2"/>
      </rPr>
      <t xml:space="preserve"> Adelantar jornadas de promoción de planes,  programas y proyectos  enmarcados en los ámbitos de la educación solidaria</t>
    </r>
  </si>
  <si>
    <t>5 Jornadas de promoción</t>
  </si>
  <si>
    <t>No. de Jornadas de promoción realizadas</t>
  </si>
  <si>
    <t>1.11</t>
  </si>
  <si>
    <t>2. Diseñar un programa de transversalización del sector solidario en la política económica y social del Estado</t>
  </si>
  <si>
    <r>
      <t>2.1</t>
    </r>
    <r>
      <rPr>
        <sz val="11"/>
        <rFont val="Arial"/>
        <family val="2"/>
      </rPr>
      <t xml:space="preserve"> Diseñar el Programa de Sinergías Solidarias</t>
    </r>
  </si>
  <si>
    <t xml:space="preserve">100 % de documento   propuesta de programa presentada al Director de área </t>
  </si>
  <si>
    <t>(No. de documentos diseñados /  No. de documentos  a diseñar) x 100</t>
  </si>
  <si>
    <r>
      <t xml:space="preserve">2.2. </t>
    </r>
    <r>
      <rPr>
        <sz val="11"/>
        <rFont val="Arial"/>
        <family val="2"/>
      </rPr>
      <t xml:space="preserve">Atender solicitudes que contribuyan a la implementación del PLANFES  en armonia con otros planes derivados del Acuerdo de Paz </t>
    </r>
  </si>
  <si>
    <t xml:space="preserve">100% de solicitudes atendidas </t>
  </si>
  <si>
    <t>(No. de solicitudes tramitadas / No. de solicitudes recibidas) x 100</t>
  </si>
  <si>
    <t xml:space="preserve">3. Desarrollar estudios e investigaciones que aporten al fomento y fortalecimiento del sector solidario </t>
  </si>
  <si>
    <r>
      <rPr>
        <b/>
        <sz val="11"/>
        <rFont val="Arial"/>
        <family val="2"/>
      </rPr>
      <t>3.1.</t>
    </r>
    <r>
      <rPr>
        <sz val="11"/>
        <rFont val="Arial"/>
        <family val="2"/>
      </rPr>
      <t xml:space="preserve"> Desarrollar dos investigaciones o estudios que aporten al fomento de la asociatividad solidaria </t>
    </r>
  </si>
  <si>
    <t>100% de las 2 investigaciones o estudios realizados</t>
  </si>
  <si>
    <t>(No. de Investigaciones o estudios desarrollados / No. de Investigaciones o estudios a desarrollar) x 100</t>
  </si>
  <si>
    <r>
      <rPr>
        <b/>
        <sz val="11"/>
        <rFont val="Arial"/>
        <family val="2"/>
      </rPr>
      <t xml:space="preserve">3.2 </t>
    </r>
    <r>
      <rPr>
        <sz val="11"/>
        <rFont val="Arial"/>
        <family val="2"/>
      </rPr>
      <t xml:space="preserve">Publicar dos  documentos que  contengan resultados de  investigaciones o estudios relacionados con el fomento de la asociatividad solidaria  
</t>
    </r>
  </si>
  <si>
    <t xml:space="preserve">100% de los documentos diseñados </t>
  </si>
  <si>
    <t>No. de documentos de investigación o estudios  publicados</t>
  </si>
  <si>
    <r>
      <rPr>
        <b/>
        <sz val="11"/>
        <rFont val="Arial"/>
        <family val="2"/>
      </rPr>
      <t xml:space="preserve">3.3 </t>
    </r>
    <r>
      <rPr>
        <sz val="11"/>
        <rFont val="Arial"/>
        <family val="2"/>
      </rPr>
      <t>Apoyar actividades de socialización y discusión de investigaciones y estudios en espacios académicos, sectoriales, de construcción de política pública y ciudadanía en general</t>
    </r>
  </si>
  <si>
    <t>2 actividades de socialización y discusión de investigaciones y estudio</t>
  </si>
  <si>
    <t>No. de actividades de socialización y discusión de investigaciones y estudio</t>
  </si>
  <si>
    <t>4. Administrar los servicios de cara a los ciudadanos, suministrar información pertinentes y gestionar el tráimite oportunamente</t>
  </si>
  <si>
    <r>
      <rPr>
        <b/>
        <sz val="11"/>
        <rFont val="Arial"/>
        <family val="2"/>
      </rPr>
      <t xml:space="preserve">4.1 </t>
    </r>
    <r>
      <rPr>
        <sz val="11"/>
        <rFont val="Arial"/>
        <family val="2"/>
      </rPr>
      <t>Actualizar la política, manual, reglamentos, proceso y sus formatos de atención y participación ciudadana en armonía con el MIPG</t>
    </r>
  </si>
  <si>
    <t>100 % del  Proceso de atención y participación ciudadana diseñado e implementado</t>
  </si>
  <si>
    <t>(No. de acciones realizadas para diseñar e implementar el nuevo proceso / No. de acciones requeridas para diseñar e implementar el nuevo proceso) x 100</t>
  </si>
  <si>
    <r>
      <rPr>
        <b/>
        <sz val="11"/>
        <rFont val="Arial"/>
        <family val="2"/>
      </rPr>
      <t>4.2.</t>
    </r>
    <r>
      <rPr>
        <sz val="11"/>
        <rFont val="Arial"/>
        <family val="2"/>
      </rPr>
      <t xml:space="preserve"> Realizar acciones tendientes a cumplir el Plan Anticorrupción y de Atención al ciudadano 2018, en lo pertinente al equipo de educación e investigación</t>
    </r>
  </si>
  <si>
    <t>100% de los componentes servicio al ciudadano y racionalización de trámites, implementados</t>
  </si>
  <si>
    <t>(No. de acciones realizadas para implementar el plan anticorrupción y de atención al ciudadano  / No. de acciones requeridas para implementar el plan anticorrupción y de atención al ciudadano  ) x 100</t>
  </si>
  <si>
    <r>
      <rPr>
        <b/>
        <sz val="11"/>
        <rFont val="Arial"/>
        <family val="2"/>
      </rPr>
      <t>4.3.</t>
    </r>
    <r>
      <rPr>
        <sz val="11"/>
        <rFont val="Arial"/>
        <family val="2"/>
      </rPr>
      <t xml:space="preserve"> Tramitar las solicitudes de atención al ciudadano oportunamente</t>
    </r>
  </si>
  <si>
    <t>100% solicitudes de atención al ciudadano</t>
  </si>
  <si>
    <r>
      <rPr>
        <b/>
        <sz val="11"/>
        <rFont val="Arial"/>
        <family val="2"/>
      </rPr>
      <t xml:space="preserve">4.4. </t>
    </r>
    <r>
      <rPr>
        <sz val="11"/>
        <rFont val="Arial"/>
        <family val="2"/>
      </rPr>
      <t>Tramitar las solicitudes de gestión del conocimiento internas</t>
    </r>
  </si>
  <si>
    <t>100% de solicitudes de apoyo académico tramitadas</t>
  </si>
  <si>
    <r>
      <rPr>
        <b/>
        <sz val="11"/>
        <rFont val="Arial"/>
        <family val="2"/>
      </rPr>
      <t xml:space="preserve">4.5 </t>
    </r>
    <r>
      <rPr>
        <sz val="11"/>
        <rFont val="Arial"/>
        <family val="2"/>
      </rPr>
      <t>Tramitar las solicitudes de acreditación y aval oportunamente</t>
    </r>
  </si>
  <si>
    <t>100% solicitudes de acreditación y aval tramitadas</t>
  </si>
  <si>
    <t>4.5</t>
  </si>
  <si>
    <r>
      <rPr>
        <b/>
        <sz val="11"/>
        <rFont val="Arial"/>
        <family val="2"/>
      </rPr>
      <t xml:space="preserve">4.6. </t>
    </r>
    <r>
      <rPr>
        <sz val="11"/>
        <rFont val="Arial"/>
        <family val="2"/>
      </rPr>
      <t>Implementar el trámite de acreditación en el nuevo aplicativo SIIA</t>
    </r>
  </si>
  <si>
    <t>100% de entidades acreditadas incluidas en el nuevo aplicativo</t>
  </si>
  <si>
    <t>(No. de acciones realizadas para implementar el SIIA / No. de acciones requeridas para implementar el SIIA ) x 100</t>
  </si>
  <si>
    <t>4.6</t>
  </si>
  <si>
    <r>
      <rPr>
        <b/>
        <sz val="11"/>
        <rFont val="Arial"/>
        <family val="2"/>
      </rPr>
      <t xml:space="preserve">4.7. </t>
    </r>
    <r>
      <rPr>
        <sz val="11"/>
        <rFont val="Arial"/>
        <family val="2"/>
      </rPr>
      <t xml:space="preserve">Diseñar la estrategia para  convertir  al Centro Documental en un medio de apropiación social del  conocimiento. </t>
    </r>
  </si>
  <si>
    <t>100% de la estrategia diseñada e implementada</t>
  </si>
  <si>
    <t>(No. de estrategias diseñadas e implementadas /  No. de estrategias a diseñar e implementar) x 100</t>
  </si>
  <si>
    <t>4.7</t>
  </si>
  <si>
    <t>Comunicaciones y Prensa</t>
  </si>
  <si>
    <r>
      <rPr>
        <b/>
        <sz val="11"/>
        <rFont val="Arial"/>
        <family val="2"/>
      </rPr>
      <t xml:space="preserve">4.8 </t>
    </r>
    <r>
      <rPr>
        <sz val="11"/>
        <rFont val="Arial"/>
        <family val="2"/>
      </rPr>
      <t>Suministrar material para noticias relacionadas con el área y sus procesos de impacto territorial al área de comunicaciones</t>
    </r>
  </si>
  <si>
    <t>6 noticias elaboradas y presentadas</t>
  </si>
  <si>
    <t>No. de noticias elaboradas y presentadas</t>
  </si>
  <si>
    <t>4.8</t>
  </si>
  <si>
    <r>
      <rPr>
        <b/>
        <sz val="11"/>
        <rFont val="Arial"/>
        <family val="2"/>
      </rPr>
      <t xml:space="preserve">5.1 </t>
    </r>
    <r>
      <rPr>
        <sz val="11"/>
        <rFont val="Arial"/>
        <family val="2"/>
      </rPr>
      <t>Actualizar y ajustar el proceso de gestión del conocimiento a la nueva norma ISO  y MIPG</t>
    </r>
  </si>
  <si>
    <t>4 actividades de revisión de indicadores y al proceso</t>
  </si>
  <si>
    <t>No. de actividades de revisión de indicadores y al proceso</t>
  </si>
  <si>
    <t>5. Contribuir con el avance y mejoramiento del SIGOS</t>
  </si>
  <si>
    <t>1. Coordinar y asesorar el proceso de  Planeación Institucional  2014-2018 y en el Plan Estratégico Sectorial</t>
  </si>
  <si>
    <t xml:space="preserve">1.1 Actualizar y publicar el Plan Estrategico 2014-2018 teniendo en cuenta incrementos presupuestakes </t>
  </si>
  <si>
    <t xml:space="preserve">1 plan actualizado, publicado y adoptado </t>
  </si>
  <si>
    <t xml:space="preserve">Número de planes actualizados </t>
  </si>
  <si>
    <t>1.2 Realizar seguimiento y evaluación a la ejecución del Plan Estratégico Sectorial (último vigencia 2017 y 3 de 2018)</t>
  </si>
  <si>
    <t>4  seguimientos a la ejecución del Plan Estratégico Sectorial</t>
  </si>
  <si>
    <t>Número de seguimientos realizados</t>
  </si>
  <si>
    <t xml:space="preserve">1.3 Diseñar una estrategia  para la construccion de la prouesta de Plan Estartegico 2018-2022 </t>
  </si>
  <si>
    <t>1 estrategía diseñada</t>
  </si>
  <si>
    <t xml:space="preserve">Número de estrategis diseñadas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</si>
  <si>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</si>
  <si>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</si>
  <si>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 de inversión elaborado y consolidado</t>
  </si>
  <si>
    <t>2. Coordinar y asesorar el proceso de Planeación institucional en todos los componentes y planes del Sistema Integrado de Gestión y Planeación.</t>
  </si>
  <si>
    <t xml:space="preserve">Funcionamiento                          </t>
  </si>
  <si>
    <t>2.1 Apoyar a la Dirección de Investigación y Planeación en el desarrollo de los  Comité de Desarrollo Administrativo para presentar los avances y cumplimiento de metas del Modelo Integrado de Planeación y Gestión para la vigencia.</t>
  </si>
  <si>
    <t>4 Comités de Desarrollo Administrativo realizados</t>
  </si>
  <si>
    <t>Número Comités realizados</t>
  </si>
  <si>
    <t>2.2 Consolidar los avances de actividades  en cada uno de los componentes del Plan Anticorrupción y de Atención al Ciudadano.</t>
  </si>
  <si>
    <t>4 reportes de avance a los componentes del Plan Anticorrupción y de Atención al Ciudadano (último vigencia 2017 y 3 de 2018)</t>
  </si>
  <si>
    <t>Número de reportes realizados</t>
  </si>
  <si>
    <t xml:space="preserve">2.3 Asesorar y validar técnicamente la elaboración y publicación de los planes de acción de las diferentes áreas de la Unidad Administrativa Especial de Organizaciones Solidarias. </t>
  </si>
  <si>
    <t>12 Planes de acción formulados y publicados</t>
  </si>
  <si>
    <t>Número de planes de acción formulados y publicados</t>
  </si>
  <si>
    <t>2.4 Realizar informes de seguimiento de la ejecución de los Planes de Acción</t>
  </si>
  <si>
    <t>12 Informes de seguimiento y ejecución</t>
  </si>
  <si>
    <t>Número de Informes de seguimiento a planes de acción elaborados</t>
  </si>
  <si>
    <r>
      <t>2.5  Apoyar la organización  y realización de  la</t>
    </r>
    <r>
      <rPr>
        <sz val="11"/>
        <rFont val="Arial"/>
        <family val="2"/>
      </rPr>
      <t xml:space="preserve"> jornada de planeación para la vigencia 2019</t>
    </r>
  </si>
  <si>
    <t xml:space="preserve">1 Jornada de planeación </t>
  </si>
  <si>
    <t xml:space="preserve">Número de jornada de planeación realizada </t>
  </si>
  <si>
    <t>2.6 Realizar seguimiento periódico sobre los avances de la planeación estratégica, táctica y operativa de la Entidad de acuerdo a los planes que desarrollan el Modelo Integrado de  Planeación y Gestión.</t>
  </si>
  <si>
    <t>4 Informes elaborados y presentados oportunamente (último vigencia 2017 y 3 de 2018)</t>
  </si>
  <si>
    <t>Número de Informes de seguimiento a la Planeación estratégica elaborados</t>
  </si>
  <si>
    <t xml:space="preserve">2.7 Apoyar metodológicamente  la construcción de los mapas de riesgos de gestión de procesos y de corrupción, vigencia 2018  </t>
  </si>
  <si>
    <t xml:space="preserve"> 2  matrices de  mapas de riesgos construidas y publicadas ( corrupción y de procesos)</t>
  </si>
  <si>
    <t>Número de matriz de riesgos de procesos elaborada, publicada</t>
  </si>
  <si>
    <t>2,8 Adelantar los monitoreos a la matriz de riesgo de procesos y riesgos de corrupción  de acuerdo con la normatividad vigente</t>
  </si>
  <si>
    <t>5 monitoreos  realizados en las fechas que establecen la normatividad  vigente.</t>
  </si>
  <si>
    <t>Número de monitoreos realizados.</t>
  </si>
  <si>
    <t>3. Coordinar, asesorar y acompañar el proceso de mejoramiento continuo del Sistema Integrado de Gestión de la Unidad Administrativa Especial de Organizaciones Solidarias.</t>
  </si>
  <si>
    <t>3.1   Adelantar las acciones establecidas en el Plan del Sistema Integrado de Gestión de Organizaciones Solidarias -SIGOS-</t>
  </si>
  <si>
    <t>100% de Cumplimiento de las actividades establecidas en el Plan  SIGOS</t>
  </si>
  <si>
    <t xml:space="preserve">% de cumplimiento del plan SIGOS </t>
  </si>
  <si>
    <t xml:space="preserve">3.2 Diseñar e implementar 1  campaña de sensibilización del SIGOS a los funcionarios de la Unidad </t>
  </si>
  <si>
    <t xml:space="preserve">100% de la implementación de la campaña  realizadas </t>
  </si>
  <si>
    <t>Porcentaje de implementación de la  campaña de sensibilización realizada</t>
  </si>
  <si>
    <t>4. Implementar el Plan Estadístico Institucional de acuerdo a lo proyectodo en el corto plazo.</t>
  </si>
  <si>
    <t>4.1 Revisar, actualizar y publicar infomación de gestión y resultados  con los reportes estadísticos periodicamente.</t>
  </si>
  <si>
    <t xml:space="preserve">2 reportes de acualización de la información por departamento y municipio realizados </t>
  </si>
  <si>
    <t xml:space="preserve">Número de  reportes de acualización de la información por departamento y municipio realizados </t>
  </si>
  <si>
    <t>4.2 Elaborar y presentar  los reportes e informes estadisticos de la entidad y el seguimiento al  Plan Estadístico Institucional</t>
  </si>
  <si>
    <t>12 reportes de seguimiento a las operaciones estadísticas  propias (último vigencia 2017 y 3 de 2018)</t>
  </si>
  <si>
    <t>Número de reportes de seguimiento realizados</t>
  </si>
  <si>
    <t>12 reportes de seguimiento a las operaciones estadística otra fuente (último vigencia 2017 y 3 de 2018)</t>
  </si>
  <si>
    <t>4.3 Elaborar y presentar  los reportes  estadisticos de la entidad y el seguimiento a la implementación del Plan Estadístico Institucional</t>
  </si>
  <si>
    <r>
      <rPr>
        <sz val="11"/>
        <rFont val="Arial"/>
        <family val="2"/>
      </rPr>
      <t>2</t>
    </r>
    <r>
      <rPr>
        <sz val="11"/>
        <color indexed="8"/>
        <rFont val="Arial"/>
        <family val="2"/>
      </rPr>
      <t xml:space="preserve"> reportes estadisticos publicados </t>
    </r>
  </si>
  <si>
    <t xml:space="preserve">Número de reportes estadisticos para la revista institucional elaborados </t>
  </si>
  <si>
    <t>4.4  Adelantar las actividades necesarias para mantener la  certificación de la operación estadística " Resgistro de ESALES ante el DANE"</t>
  </si>
  <si>
    <t xml:space="preserve">3 reportes  sobre la operación estadistica de ESALES y el cumplimiento de los requerimientos del DANE </t>
  </si>
  <si>
    <t xml:space="preserve">Número de reportes presentados </t>
  </si>
  <si>
    <t>4,5 Actualizar el plan estaadistico institucional y las operaciones estadisticas que lo componen teneinedo en cuenta los compromisos de la Entidad en el Acuerdo de PAZ</t>
  </si>
  <si>
    <t xml:space="preserve">1 plan actualizado, publicado </t>
  </si>
  <si>
    <t>5. Actualizar los proyectos de inversión para la solicitud de recursos y realizar seguimiento a la ejecución de los mismos.</t>
  </si>
  <si>
    <t>5.1 Gestionar la actualización  y aprobación de  los proyectos de inversión para la vigencia 2019  y vigencias posteriores, por parte de Mintrabajo y DNP</t>
  </si>
  <si>
    <t>2  proyectos actualizados, aprobados y registrados</t>
  </si>
  <si>
    <t>Numero de proyectos actualizados, aprobados y registrados en el DNP</t>
  </si>
  <si>
    <t xml:space="preserve">6 proyectos formulados </t>
  </si>
  <si>
    <t>Numero de proyectos formulados, aprobados y registrados en el DNP</t>
  </si>
  <si>
    <t>5.2 Gestionar la actualización  y aprobación de  los proyectos de inversión para la vigencia 2018,  por parte de Mintrabajo y DNP</t>
  </si>
  <si>
    <t>9  proyectos actualizados, aprobados y registrados.</t>
  </si>
  <si>
    <t>Número de proyectos actualizados, aprobados y registrados en el DNP</t>
  </si>
  <si>
    <t>5.3 Asesorar y verificar la elaboración de estudios técnicos para la ejecución de proyectos de inversión durante 2018</t>
  </si>
  <si>
    <t>100% Estudios técnicos asesorados</t>
  </si>
  <si>
    <t>Número de estudios técnicos asesorados/ total de estudios técnicos recibidos *100</t>
  </si>
  <si>
    <t>5.4 Realizar seguimiento periódico sobre los avances de la ejecución de los proyectos de inversión de acuerdo a la planificación realizada en el marco de la política de Gestión Finaciera.</t>
  </si>
  <si>
    <t>12 Reportes  de seguimiento (último vigencia 2017 y 3 de 2018)</t>
  </si>
  <si>
    <t>Numero de reportes de seguimiento elaborados</t>
  </si>
  <si>
    <t>6. Apoyar el desarrollo de las actividades necesarias para las implementación de los criterios del Gobierno en Línea en la Unidad Administrativa Especial de Organizaciones Solidarias</t>
  </si>
  <si>
    <t>6.1 Atender oportunamente los compromisos adquiridos en el Plan Anticorrupción y Atención al Cidadano vigencia 2018</t>
  </si>
  <si>
    <t>100% avance adquiridos en el Plan Anticorrupción y Atención al Cidadano vigencia 2018</t>
  </si>
  <si>
    <t xml:space="preserve">% de avance </t>
  </si>
  <si>
    <t>1. Implementar los lineamientos de TIC, para el programa de gobierno en línea - GEL-2018, según capitulo 1, titulo 9, Decreto 1078 de 2015, de acuerdo con los recursos disponibles.</t>
  </si>
  <si>
    <t>1.1. Implementar los lineamientos establecidos en el manual GEL para la vigencia 2018.</t>
  </si>
  <si>
    <t>100% de los lineamientos GEL implementados para la vigencia 2018.</t>
  </si>
  <si>
    <t>Numero de Lineamientos GEL implementados aplicables * 100 / Numero de Lineamientos Gel Totales aplicables</t>
  </si>
  <si>
    <t>1.2. Realizar acompañamientos y asesorias en la implementación de GEL al interior de la Unidad.</t>
  </si>
  <si>
    <t>3 Reportes de acompañamientos y asesorias realizadas.</t>
  </si>
  <si>
    <t>Número de Reportes de acompañamientos y asesorías realizadas.</t>
  </si>
  <si>
    <t>2. Mantener en óptimas condiciones los componentes de software necesarios para el buen funcionamiento de la infraestructura informática.</t>
  </si>
  <si>
    <t>2.1. Renovar  y configurar soluciones de software.</t>
  </si>
  <si>
    <t>3 soluciones de software renovadas y configuradas.</t>
  </si>
  <si>
    <t>Número de Soluciones de software renovadas y configuradas.</t>
  </si>
  <si>
    <t>2.2.Gestionar las actualizaciones de software conforme a las buenas prácticas establecidas por los fabricantes.</t>
  </si>
  <si>
    <t>3 reportes de actualizaciones de software gestionadas.</t>
  </si>
  <si>
    <t>Número de Reportes de actualizaciones de software.</t>
  </si>
  <si>
    <t>2.3.  Implementar aplicaciones de software a la medida de las necesidades de la UAEOS.</t>
  </si>
  <si>
    <t>4 aplicciones de software implementadas</t>
  </si>
  <si>
    <t>Número de Aplicciones de software implementadas</t>
  </si>
  <si>
    <t>3. Mantener en óptimas condiciones los componentes de hardware en pro del buen funcionamiento de la infraestructura informática.</t>
  </si>
  <si>
    <t>3.1. Adquirir y configurar el hardware necesario conforme a las necesidades de la Unidad.</t>
  </si>
  <si>
    <t>10 componentes de tipo hardware adquiridos y configurados.</t>
  </si>
  <si>
    <t>Componentes de tipo hardware adquiridos y configurados.</t>
  </si>
  <si>
    <t>3.2. Adelantar actividades de mantenimiento preventivo y correctivo.</t>
  </si>
  <si>
    <t>3 actividades de mantenimiento preventivo y correctivo.</t>
  </si>
  <si>
    <t>Número de Actividades de mantenimiento preventivo y correctivo.</t>
  </si>
  <si>
    <t>4. Gestionar servicios de Tecnologías de la Información y las Comunicaciones</t>
  </si>
  <si>
    <t>4.1. Atender las solicitudes de soporte técnico realizadas por los usuarios de la Unidad.</t>
  </si>
  <si>
    <t>100% de las solicitudes de soporte técnico atendidas.</t>
  </si>
  <si>
    <t>Número de solicitudes atendidas  * 100 / Número de solicitudes recibidas</t>
  </si>
  <si>
    <t>4.2. Gestionar los servicios de la red de comunicaciones.</t>
  </si>
  <si>
    <t>4 Servicios de comunicaciones gestionados.</t>
  </si>
  <si>
    <t>Número Servicios de comunicaciones gestionados.</t>
  </si>
  <si>
    <t>4.3. Gestionar la disponibilidad y seguridad de la información.</t>
  </si>
  <si>
    <t>4 reportes de copias de seguridad.</t>
  </si>
  <si>
    <t>Número Reportes de copias de seguridad.</t>
  </si>
  <si>
    <t>4.4 Consultar los servicios tecnologicos disponibles por el grupo TIC de la Unidad</t>
  </si>
  <si>
    <t>125,393 Consultas realizadas a los servicios tecnologicos</t>
  </si>
  <si>
    <t>Numero Consultas realizadas a los servicios tecnologicos</t>
  </si>
  <si>
    <t>DEPENDENCIA</t>
  </si>
  <si>
    <t>% AVANCE EJECUTADO</t>
  </si>
  <si>
    <t>% AVANCE ESPERADO</t>
  </si>
  <si>
    <t>TIC´s</t>
  </si>
  <si>
    <t>Grupo de Desarrollo Solidario</t>
  </si>
  <si>
    <t xml:space="preserve">Grupo de Atención Esp. a Poblaciones </t>
  </si>
  <si>
    <t>Control Interno</t>
  </si>
  <si>
    <t>Grupo de Emprendimiento y Productividad</t>
  </si>
  <si>
    <t>Oficina Asesora Jurídica</t>
  </si>
  <si>
    <t>Planeación y Estadística</t>
  </si>
  <si>
    <t>Gestión Financiera</t>
  </si>
  <si>
    <t>Educación e Investigación</t>
  </si>
  <si>
    <t>Gestión Humana</t>
  </si>
  <si>
    <t>% TOTAL</t>
  </si>
  <si>
    <r>
      <t xml:space="preserve">ACTIVIDADES GENERALES
 </t>
    </r>
    <r>
      <rPr>
        <sz val="11"/>
        <rFont val="Arial Narrow"/>
        <family val="2"/>
      </rPr>
      <t>(Qué se va a hacer para implementar la estratégia en la zona y para cumplir con la meta del plan estratégico. Máximo dos actividades generales)</t>
    </r>
  </si>
  <si>
    <r>
      <t xml:space="preserve">VALOR PORCENTUAL DE LA ACTIVIDAD GENERAL 
</t>
    </r>
    <r>
      <rPr>
        <sz val="11"/>
        <rFont val="Arial Narrow"/>
        <family val="2"/>
      </rPr>
      <t>(Especifique la ponderación para cada una de las actividades generales, que en total deben sumar 100%)</t>
    </r>
  </si>
  <si>
    <r>
      <t xml:space="preserve">ACCIÓN
</t>
    </r>
    <r>
      <rPr>
        <sz val="1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</si>
  <si>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</si>
  <si>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rFont val="Arial Narrow"/>
        <family val="2"/>
      </rPr>
      <t>(Defina el indicador para cada meta. Estos indicadores serán de cumplimiento, es decir, la relación de variables se hará sobre la meta programada)</t>
    </r>
  </si>
  <si>
    <r>
      <t xml:space="preserve">PONDERACIÓN ACCCION
</t>
    </r>
    <r>
      <rPr>
        <sz val="1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</si>
  <si>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CUADRO 1</t>
  </si>
  <si>
    <t>CUADRO 2</t>
  </si>
  <si>
    <t>CUADRO 3</t>
  </si>
  <si>
    <t>CUADRO 4</t>
  </si>
  <si>
    <t>CUADRO 5</t>
  </si>
  <si>
    <t>CUADRO 6</t>
  </si>
  <si>
    <t>CUADRO 7</t>
  </si>
  <si>
    <r>
      <t xml:space="preserve">ACTIVIDADES GENERALES
 </t>
    </r>
    <r>
      <rPr>
        <sz val="10"/>
        <rFont val="Arial Narrow"/>
        <family val="2"/>
      </rPr>
      <t>(Qué se va a hacer para implementar la estratégia en la zona y para cumplir con la meta del plan estratégico. Máximo dos actividades generales)</t>
    </r>
  </si>
  <si>
    <r>
      <t xml:space="preserve">VALOR PORCENTUAL DE LA ACTIVIDAD GENERAL 
</t>
    </r>
    <r>
      <rPr>
        <sz val="10"/>
        <rFont val="Arial Narrow"/>
        <family val="2"/>
      </rPr>
      <t>(Especifique la ponderación para cada una de las actividades generales, que en total deben sumar 100%)</t>
    </r>
  </si>
  <si>
    <r>
      <t xml:space="preserve">ACCIÓN
</t>
    </r>
    <r>
      <rPr>
        <sz val="10"/>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</si>
  <si>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0"/>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</si>
  <si>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0"/>
        <rFont val="Arial Narrow"/>
        <family val="2"/>
      </rPr>
      <t>(Defina el indicador para cada meta. Estos indicadores serán de cumplimiento, es decir, la relación de variables se hará sobre la meta programada)</t>
    </r>
  </si>
  <si>
    <r>
      <t xml:space="preserve">PONDERACIÓN ACCCION
</t>
    </r>
    <r>
      <rPr>
        <sz val="10"/>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</si>
  <si>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Objetivo Misional</t>
  </si>
  <si>
    <t>Eje Min Trabajo - el trabajo como debe ser</t>
  </si>
  <si>
    <t>Estrategias</t>
  </si>
  <si>
    <t xml:space="preserve">Acciones </t>
  </si>
  <si>
    <t>Indicadores</t>
  </si>
  <si>
    <t xml:space="preserve">Metas  Cuatrienio </t>
  </si>
  <si>
    <t>AÑO 1</t>
  </si>
  <si>
    <t>AÑO 2</t>
  </si>
  <si>
    <t>AÑO 3</t>
  </si>
  <si>
    <t>AÑO 4</t>
  </si>
  <si>
    <t xml:space="preserve">1, Fortalecer la cultura asociativa solidaria para su posicionamiento y contribución en  los escenarios de Paz, Equidad y Educación. </t>
  </si>
  <si>
    <t xml:space="preserve"> Por la calidad del Trabajo y las Empresas Productivas
Por la Erradicación del Trabajo Infantil                                       </t>
  </si>
  <si>
    <t>1.1 Cualificación en el conocimiento del modelo asociativo solidario</t>
  </si>
  <si>
    <t>1.1.1 Ampliar la oferta de formación en el  modelo asociativo solidario y en temáticas  que contribuyan a su desarrollo</t>
  </si>
  <si>
    <t xml:space="preserve">Lineamientos curriculares en educación solidaria actualizados </t>
  </si>
  <si>
    <t xml:space="preserve">Programas de formación en modelos asociativos solidarios y en temáticas  que contribuyan a su desarrollo diseñados o actualizados
</t>
  </si>
  <si>
    <t xml:space="preserve">Programas de formación en modelos asociativos solidarios ofrecidos a través de una plataforma virtual </t>
  </si>
  <si>
    <t xml:space="preserve">1.1.2 Desarrollar estudios e investigaciones  que aporten al fomento y fortalecimiento del  sector solidario </t>
  </si>
  <si>
    <t>Estudios o investigaciones realizadas</t>
  </si>
  <si>
    <t>1.1.3 Desarrollar campañas de promoción del  modelo asociativo solidario.</t>
  </si>
  <si>
    <t xml:space="preserve">Actividades de promoción del modelo asociativo solidario </t>
  </si>
  <si>
    <t xml:space="preserve"> 100 actividades de promoción del  Modelo asociativo solidario </t>
  </si>
  <si>
    <t>Eventos Nacionales o Internacionales del sector Solidario.</t>
  </si>
  <si>
    <t>Por la calidad del Trabajo y las Empresas Productivas</t>
  </si>
  <si>
    <t>1.2 Visibilización y posicionamiento del sector solidario en Colombia.</t>
  </si>
  <si>
    <t>1.2.1 Difundir la cultura de la asociatividad solidaria, a través de medios de comunicación</t>
  </si>
  <si>
    <t>Incremento en el número de personas informadas a través de los medios de comunicación.</t>
  </si>
  <si>
    <t xml:space="preserve">1.2.2 Generar estrategias  de comunicación que permita visibilizar  el sector solidario </t>
  </si>
  <si>
    <t>Estrategia anual de comunicación generada e implementada</t>
  </si>
  <si>
    <t>4 estrategias de comunicación generadas e implementadas</t>
  </si>
  <si>
    <t>1.2.3 Diseñar un programa de transversalización del sector solidario en la política económica y social del Estado</t>
  </si>
  <si>
    <t>Número de  programas  implementados</t>
  </si>
  <si>
    <t>1 programa generado e implementado</t>
  </si>
  <si>
    <t>2. Promover la asociatividad solidaria como estrategia de equidad que contribuye a: generación de ingresos, trabajo decente, inclusión social, igualdad de oportunidades y construcción de tejido social, como fundamento de una Colombia en paz.</t>
  </si>
  <si>
    <t xml:space="preserve">Por la calidad del Trabajo y las Empresas Productivas
Por la Formalización
Por la Protección a la Vejez
Por el Empleo como un Servicio Público
</t>
  </si>
  <si>
    <t>2.1 Focalización del desarrollo de la asociatividad solidaria hacia sectores estratégicos.</t>
  </si>
  <si>
    <t>2.1.1 Desarrollar una estrategia para promover el modelo asociativo solidario, como herramienta para la generación de ingresos.</t>
  </si>
  <si>
    <t>Estrategia propuesta a la mesa de  generación de ingresos</t>
  </si>
  <si>
    <t>1 estrategia presentada</t>
  </si>
  <si>
    <t>2.1.2 Fomentar o fortalecer organizaciones solidarias, en los sectores: agropecuario, cultura, turismo, minero, inclusión social y otros que se prioricen de acuerdo al PND.</t>
  </si>
  <si>
    <t xml:space="preserve">Número de personas  beneficiadas a través de procesos de promoción, fomento o fortalecimiento en organizaciones en marcha. </t>
  </si>
  <si>
    <t>Número de nuevas organizaciones de economía solidaria registradas.</t>
  </si>
  <si>
    <t xml:space="preserve">3350 organizaciones </t>
  </si>
  <si>
    <t>2.2 Asociatividad solidaria con enfoque regional</t>
  </si>
  <si>
    <t>2.2.1 Promover o dinamizar redes y cadenas productivas, como vehículos para el desarrollo de las organizaciones solidarias.</t>
  </si>
  <si>
    <t>Redes o cadenas productivas promovidas o dinamizadas</t>
  </si>
  <si>
    <t>2.2.2 Articular esfuerzos con entes y actores nacionales o  territoriales  públicos o privados para la promoción de la asociatividad solidaria aprovechando la vocación productiva de las  regiones</t>
  </si>
  <si>
    <t>Alianzas  estratégicas establecidas</t>
  </si>
  <si>
    <t xml:space="preserve">3. Fortalecer la institucionalidad de la Unidad Administrativa Especial de Organizaciones Solidarias  de modo que contribuya al cumplimiento de las metas de  buen gobierno  definidas en el PND </t>
  </si>
  <si>
    <t>3.1 Integralidad  de los sistemas de gestión para el desarrollo institucional</t>
  </si>
  <si>
    <t>3.1.1 Diseñar e implementar el modelo integrado de gestión y planeación 2015-2018</t>
  </si>
  <si>
    <t>Modelo integrado de gestión y planeación</t>
  </si>
  <si>
    <t>100% de implementación del Modelo</t>
  </si>
  <si>
    <t>3.1.2 Fortalecer el plan estadístico institucional</t>
  </si>
  <si>
    <t>Operaciones estadísticas certificadas por el DANE</t>
  </si>
  <si>
    <t xml:space="preserve">1 Operación estadística certificada </t>
  </si>
  <si>
    <t>3.2 Promover y participar  en la revisión de la normatividad del sector solidario e iniciativas legislativas</t>
  </si>
  <si>
    <t xml:space="preserve">3.2.1 Revisar y analizar la normatividad existente para el sector y proponer los desarrollos o cambios que se encuentren pertinentes para beneficio y desarrollo del mismo. </t>
  </si>
  <si>
    <t>Documento de análisis y propuestas gestionadas.</t>
  </si>
  <si>
    <t>100% elaboración de documento y gestión de propuestas.</t>
  </si>
  <si>
    <t>TRIMESTRE 1</t>
  </si>
  <si>
    <t>TRIMESTRE 2</t>
  </si>
  <si>
    <t>TRIMESTRE 3</t>
  </si>
  <si>
    <t>TRIMESTRE 4</t>
  </si>
  <si>
    <t>9</t>
  </si>
  <si>
    <t>1</t>
  </si>
  <si>
    <t xml:space="preserve">1   lineamientos curriculares en educación solidaria actualizados </t>
  </si>
  <si>
    <t xml:space="preserve">9 programas diseñados o actualizados </t>
  </si>
  <si>
    <t>3 programas de formación ofrecidos</t>
  </si>
  <si>
    <t>6 Estudios o investigaciones realizadas</t>
  </si>
  <si>
    <t xml:space="preserve"> 9 eventos realizados</t>
  </si>
  <si>
    <t>90% más de personas informadas.</t>
  </si>
  <si>
    <t>28206 personas  beneficiadas</t>
  </si>
  <si>
    <t>13 redes o cadenas promovidas o dinamizadas</t>
  </si>
  <si>
    <t xml:space="preserve">64 alianzas  establecidas  </t>
  </si>
  <si>
    <t xml:space="preserve">TOTAL 2018 </t>
  </si>
  <si>
    <t>TOTAL CUATRENIO</t>
  </si>
  <si>
    <t xml:space="preserve">enero </t>
  </si>
  <si>
    <t>febrero</t>
  </si>
  <si>
    <t>marzo</t>
  </si>
  <si>
    <t>abril</t>
  </si>
  <si>
    <t>mayo</t>
  </si>
  <si>
    <t>junio</t>
  </si>
  <si>
    <t>julio</t>
  </si>
  <si>
    <t>agosto</t>
  </si>
  <si>
    <t>septiembre</t>
  </si>
  <si>
    <t>octubre</t>
  </si>
  <si>
    <t>noviembre</t>
  </si>
  <si>
    <t>diciembre</t>
  </si>
  <si>
    <t>1 trimestre</t>
  </si>
  <si>
    <t>2 trimestre</t>
  </si>
  <si>
    <t>3 trimestre</t>
  </si>
  <si>
    <t>4 trimestre</t>
  </si>
  <si>
    <t>Rues</t>
  </si>
  <si>
    <t xml:space="preserve">convenios </t>
  </si>
  <si>
    <t>documento analisis</t>
  </si>
  <si>
    <t>META TOTAL</t>
  </si>
  <si>
    <t>OBJETIVOS SECTORIALES</t>
  </si>
  <si>
    <t>PESO PONDERADO</t>
  </si>
  <si>
    <t>ESTRATEGIAS</t>
    <phoneticPr fontId="8" type="noConversion"/>
  </si>
  <si>
    <t>INDICADOR</t>
    <phoneticPr fontId="8" type="noConversion"/>
  </si>
  <si>
    <t>TIPO DE INDICADOR</t>
  </si>
  <si>
    <t>PERIODICIDAD</t>
  </si>
  <si>
    <t>LÍNEA DE BASE</t>
  </si>
  <si>
    <t>META CUATRIENIO</t>
  </si>
  <si>
    <t>META 2015</t>
  </si>
  <si>
    <t>META 2016</t>
  </si>
  <si>
    <t>META 20117</t>
  </si>
  <si>
    <t>META 2018</t>
  </si>
  <si>
    <t>Alcanzado  2015</t>
  </si>
  <si>
    <t>Alcanzado  2016</t>
  </si>
  <si>
    <t>Alcanzado  2017</t>
  </si>
  <si>
    <t>Avance 2018</t>
  </si>
  <si>
    <t xml:space="preserve">Proyectado I trimestre </t>
  </si>
  <si>
    <t xml:space="preserve">Avance 1 trimestre </t>
  </si>
  <si>
    <t xml:space="preserve">Avance cualitativo </t>
  </si>
  <si>
    <t>ProyectadoI trimestre 2</t>
  </si>
  <si>
    <t>Avance  trimestre 2</t>
  </si>
  <si>
    <t>Avance cualitativo 2</t>
  </si>
  <si>
    <t>Proyectado  trimestre 3</t>
  </si>
  <si>
    <t>Avance  trimestre 3</t>
  </si>
  <si>
    <t>Avance cualitativo 3</t>
  </si>
  <si>
    <t>Proyectado  trimestre 4</t>
  </si>
  <si>
    <t>Avance  trimestre 4</t>
  </si>
  <si>
    <t>Avance cualitativo 4</t>
  </si>
  <si>
    <t>Avance cualitativo 5</t>
  </si>
  <si>
    <t>Componente trabajo decente</t>
  </si>
  <si>
    <t>PILAR PND</t>
  </si>
  <si>
    <t>ESTRATEGIA TRANSVERSAL PND</t>
  </si>
  <si>
    <t>OBJETIVO PND</t>
    <phoneticPr fontId="8" type="noConversion"/>
  </si>
  <si>
    <t>ENTIDAD RESPONSABLE</t>
  </si>
  <si>
    <t>DEPENDENCIA RESPONSABLE</t>
  </si>
  <si>
    <t>FUNCIONARIO RESPONSABLE</t>
  </si>
  <si>
    <t>CORREO ELECTRONICO DEL FUNCIONARIO RESPONSABLE</t>
  </si>
  <si>
    <t xml:space="preserve">Avance Cuatrienio </t>
  </si>
  <si>
    <t xml:space="preserve">pendiente </t>
  </si>
  <si>
    <t>1. Promover la protección de los derechos fundamentales del trabajo y la promoción del diálogo social, la concertación, la conciliación y la erradicación del trabajo infantil a través de la articulación efectiva de las entidades.</t>
  </si>
  <si>
    <r>
      <rPr>
        <b/>
        <sz val="11"/>
        <color theme="1"/>
        <rFont val="Arial Narrow"/>
        <family val="2"/>
      </rPr>
      <t xml:space="preserve">1.1.  </t>
    </r>
    <r>
      <rPr>
        <sz val="11"/>
        <color theme="1"/>
        <rFont val="Arial Narrow"/>
        <family val="2"/>
      </rPr>
      <t>Cualifiicar el conocimiento del modelo asociativo solidario.</t>
    </r>
  </si>
  <si>
    <t>Programas de formación diseñados o actualizados.</t>
  </si>
  <si>
    <t>Producto</t>
  </si>
  <si>
    <t>Anual</t>
  </si>
  <si>
    <t>Respeto y vigencia de los Derechos fundamentales en el trabajo</t>
  </si>
  <si>
    <t>Colombia equitativa y sin pobreza extrema</t>
  </si>
  <si>
    <t>Movilidad social</t>
  </si>
  <si>
    <t xml:space="preserve">Garantizar la igualdad de oportunidades para todos, contribuyendo a la preservación y la formación de capital humano y social, para el mejoramiento de la calidad de vida de las personas y el fomento de la movilidad social
</t>
  </si>
  <si>
    <t>Unidad Administrativa Especial de Organizaciones Solidarias</t>
  </si>
  <si>
    <r>
      <rPr>
        <b/>
        <sz val="11"/>
        <color theme="1"/>
        <rFont val="Arial Narrow"/>
        <family val="2"/>
      </rPr>
      <t>1.2</t>
    </r>
    <r>
      <rPr>
        <sz val="11"/>
        <color theme="1"/>
        <rFont val="Arial Narrow"/>
        <family val="2"/>
      </rPr>
      <t xml:space="preserve"> Promocionar el Desarrollo de la Estrategia Nacional para Prevenir, erradicar  el Trabajo Infantil y sus Peores Formas </t>
    </r>
  </si>
  <si>
    <t>Tasa de Trabajo Infantil</t>
  </si>
  <si>
    <t>Impacto (Sinergia)</t>
  </si>
  <si>
    <t>Movilidad Social</t>
  </si>
  <si>
    <t>Cerrar brecha en acceso y calidad de la educación para mejorar la formación de capital humano, incrementar la movilidad social y fomentar la construcción de ciudadanía</t>
  </si>
  <si>
    <t>Ministerio del Trabajo</t>
  </si>
  <si>
    <t xml:space="preserve"> Dirección de Derechos Fundamentales</t>
  </si>
  <si>
    <t>Programas implementados para la prevención y disminución del trabajo infantil en sectores estratégicos</t>
  </si>
  <si>
    <t>2. Fomentar la dinámica de los mercados laborales para que sean, incluyentes y adaptables a las particularidades de cada región, permitiendo así el desarrollo económico y social de las regiones en condiciones de equidad</t>
  </si>
  <si>
    <r>
      <rPr>
        <b/>
        <sz val="11"/>
        <rFont val="Arial Narrow"/>
        <family val="2"/>
      </rPr>
      <t xml:space="preserve">2.1. </t>
    </r>
    <r>
      <rPr>
        <sz val="11"/>
        <rFont val="Arial Narrow"/>
        <family val="2"/>
      </rPr>
      <t xml:space="preserve"> Generar, implementar y evaluar rutas de empleabilidad con especial énfasis en población jóven que permitan su vinculación al mercado laboral</t>
    </r>
  </si>
  <si>
    <t>Tasa de Desempleo jóvenes (14 - 28 años)  Conpes 173</t>
  </si>
  <si>
    <t>Creación de empleo</t>
  </si>
  <si>
    <t>Generar alternativas para crear empleos de calidad y acceder al aseguramiento ante la falta de ingresos y los riesgos laborales</t>
  </si>
  <si>
    <t xml:space="preserve"> Dirección de Generación y Protección del Empleo y Subsidio Familiar</t>
  </si>
  <si>
    <r>
      <rPr>
        <b/>
        <sz val="11"/>
        <rFont val="Arial Narrow"/>
        <family val="2"/>
      </rPr>
      <t xml:space="preserve">2.2  </t>
    </r>
    <r>
      <rPr>
        <sz val="11"/>
        <rFont val="Arial Narrow"/>
        <family val="2"/>
      </rPr>
      <t>Diseñar y desarrollar una herramienta de gestión del conocimiento para el análisis, monitoreo y prospectiva del mercado de trabajo nacional</t>
    </r>
  </si>
  <si>
    <t>Tasa de Desempleo</t>
  </si>
  <si>
    <r>
      <rPr>
        <b/>
        <sz val="11"/>
        <rFont val="Arial Narrow"/>
        <family val="2"/>
      </rPr>
      <t xml:space="preserve">2.3 </t>
    </r>
    <r>
      <rPr>
        <sz val="11"/>
        <rFont val="Arial Narrow"/>
        <family val="2"/>
      </rPr>
      <t>Realizar acciones de capacitación a población vulnerable</t>
    </r>
  </si>
  <si>
    <t xml:space="preserve">Víctimas formadas para potenciar el enganche laboral en el Marco de las Rutas de Empleo y Autoempleo para la reparación integral
</t>
  </si>
  <si>
    <t>N.A.</t>
  </si>
  <si>
    <t>Grupo Interno de Trabajo para la Equidad Laboral</t>
  </si>
  <si>
    <r>
      <rPr>
        <b/>
        <sz val="11"/>
        <rFont val="Arial Narrow"/>
        <family val="2"/>
      </rPr>
      <t xml:space="preserve">2.4 </t>
    </r>
    <r>
      <rPr>
        <sz val="11"/>
        <rFont val="Arial Narrow"/>
        <family val="2"/>
      </rPr>
      <t xml:space="preserve"> Implementar la Política de Equidad Laboral con Enfoque de Género, así como acciones específicas que promuevan la igualdad entre mujeres y hombres en el mercado laboral</t>
    </r>
  </si>
  <si>
    <t>Tasa de desempleo femenina</t>
  </si>
  <si>
    <t xml:space="preserve"> Grupo Interno de Trabajo para la Equidad Laboral </t>
  </si>
  <si>
    <r>
      <rPr>
        <b/>
        <sz val="11"/>
        <rFont val="Arial Narrow"/>
        <family val="2"/>
      </rPr>
      <t xml:space="preserve">2.5 </t>
    </r>
    <r>
      <rPr>
        <sz val="11"/>
        <rFont val="Arial Narrow"/>
        <family val="2"/>
      </rPr>
      <t xml:space="preserve"> Ampliar cobertura de personas vinvuladas laboralmente a través de la expansión de capacidad de servicio en todo el país de  la  Agencia Pública de Empleo  del SENA</t>
    </r>
  </si>
  <si>
    <t xml:space="preserve">Número  personas vinculadas laboralmente  a través de la APE </t>
  </si>
  <si>
    <t>Mensual</t>
  </si>
  <si>
    <t>Contar con mercados laborales sólidos y adaptables que promuevan la inclusión en igualdad de condiciones para toda la población de acuerdo con sus capacidades y que reconozcan las particularidades locales frente a la especialización de la oferta, permitiendo así el desarrollo económico y social de las regiones en mejores condiciones de equidad</t>
  </si>
  <si>
    <t>Servicio Nacional de Aprendizaje  SENA</t>
  </si>
  <si>
    <r>
      <rPr>
        <b/>
        <sz val="11"/>
        <rFont val="Arial Narrow"/>
        <family val="2"/>
      </rPr>
      <t xml:space="preserve">2.6  </t>
    </r>
    <r>
      <rPr>
        <sz val="11"/>
        <rFont val="Arial Narrow"/>
        <family val="2"/>
      </rPr>
      <t xml:space="preserve">Impulsar accionar del SENA con miras  a vincular laboralmente a sus egresados a través de su Agencia Publica de Empleo.
</t>
    </r>
  </si>
  <si>
    <t xml:space="preserve">Personas egresadas del SENA  vinculadas laboralmente  a través de la APE </t>
  </si>
  <si>
    <r>
      <rPr>
        <b/>
        <sz val="11"/>
        <rFont val="Arial Narrow"/>
        <family val="2"/>
      </rPr>
      <t xml:space="preserve">2.7 </t>
    </r>
    <r>
      <rPr>
        <sz val="11"/>
        <rFont val="Arial Narrow"/>
        <family val="2"/>
      </rPr>
      <t xml:space="preserve"> Desarrollar asociatividad solidaria con enfoque regional</t>
    </r>
  </si>
  <si>
    <t xml:space="preserve">Movilidad social  </t>
  </si>
  <si>
    <t>Garantizar la igualdad de oportunidades para todos, contribuyendo a la preservación y la formación de capital humano y social, para el mejoramiento de la calidad de vida de las personas y el fomento de la movilidad social</t>
  </si>
  <si>
    <r>
      <rPr>
        <b/>
        <sz val="11"/>
        <rFont val="Arial Narrow"/>
        <family val="2"/>
      </rPr>
      <t xml:space="preserve">2.8 </t>
    </r>
    <r>
      <rPr>
        <sz val="11"/>
        <rFont val="Arial Narrow"/>
        <family val="2"/>
      </rPr>
      <t xml:space="preserve"> Fortalecer la prestación de servicios básicos, asociados y relacionados de gestión y colocación al interior de los prestadores del SPE</t>
    </r>
  </si>
  <si>
    <t>Población orientada laboralmente y remitidas a servicios de gestión y colocación</t>
  </si>
  <si>
    <t>Generar alternativas para el acceso a un empleo de calidad y el aseguramiento frente a la falta de ingresos y los riesgos laborales</t>
  </si>
  <si>
    <t xml:space="preserve">Unidad Administrativa Especial del Servicio Público de Empleo </t>
  </si>
  <si>
    <r>
      <rPr>
        <b/>
        <sz val="11"/>
        <rFont val="Arial Narrow"/>
        <family val="2"/>
      </rPr>
      <t xml:space="preserve">2.9  </t>
    </r>
    <r>
      <rPr>
        <sz val="11"/>
        <rFont val="Arial Narrow"/>
        <family val="2"/>
      </rPr>
      <t>Crear un sistema integral para la identififcación y atención de necesidades de los empresarios en cuanto a la capacitación y formación para el trabajo</t>
    </r>
  </si>
  <si>
    <t xml:space="preserve">Población orientada laboralmente y remitida a través de servicios de gestión y colocación en Bogotá y municipios de influencia. </t>
  </si>
  <si>
    <r>
      <rPr>
        <b/>
        <sz val="11"/>
        <rFont val="Arial Narrow"/>
        <family val="2"/>
      </rPr>
      <t xml:space="preserve">2.10  </t>
    </r>
    <r>
      <rPr>
        <sz val="11"/>
        <rFont val="Arial Narrow"/>
        <family val="2"/>
      </rPr>
      <t>Fortalecer la gestión empresarial como mecanismo para consolidar el rol del SPE en los procesos de gestión y colocación de empleo</t>
    </r>
  </si>
  <si>
    <t>Número de vacantes inscritas en el Servicio Público de Empleo (Anual)</t>
  </si>
  <si>
    <r>
      <rPr>
        <b/>
        <sz val="11"/>
        <rFont val="Arial Narrow"/>
        <family val="2"/>
      </rPr>
      <t xml:space="preserve">2.11  </t>
    </r>
    <r>
      <rPr>
        <sz val="11"/>
        <rFont val="Arial Narrow"/>
        <family val="2"/>
      </rPr>
      <t>Ampliar la capacidad de acción y presencia física del Servicio Público de Empleo en todo el país</t>
    </r>
  </si>
  <si>
    <t>Número de puntos de atención de la Red Pública de Prestadores del SPE a nivel nacional</t>
  </si>
  <si>
    <r>
      <rPr>
        <b/>
        <sz val="11"/>
        <rFont val="Arial Narrow"/>
        <family val="2"/>
      </rPr>
      <t xml:space="preserve">2.12 </t>
    </r>
    <r>
      <rPr>
        <sz val="11"/>
        <rFont val="Arial Narrow"/>
        <family val="2"/>
      </rPr>
      <t xml:space="preserve"> Promover y desarrollar estrategias de atención diferenciada en temas de gestión y colocación para poblaciones con dificil vinculación al mercado de trabajo</t>
    </r>
  </si>
  <si>
    <t>Personas víctimas del conflicto armado que acceden a servicios de gestión y colocación laboral</t>
  </si>
  <si>
    <t xml:space="preserve">Gestión </t>
  </si>
  <si>
    <t>Colombia en paz</t>
  </si>
  <si>
    <t>Seguridad y  justicia para la paz</t>
  </si>
  <si>
    <t>Avanzar hacia la garantía del goce efectivo de derechos de las víctimas del conflicto armado en Colombia</t>
  </si>
  <si>
    <t xml:space="preserve">Población colocada a través del Servicio Público de Empleo </t>
  </si>
  <si>
    <t>Colocados a través de SPE en la región Caribe.</t>
  </si>
  <si>
    <t>Colocados  a través del SPE en el departamento de Norte de Santander</t>
  </si>
  <si>
    <t>Número de personas participantes del programa de empleo temporal rural</t>
  </si>
  <si>
    <t>Establecer un apoyo oportuno frente a los riesgos que afectan el bienestar de la población y los mecanismos para la protección de las condiciones de vida de las personas</t>
  </si>
  <si>
    <t>3. Crear  condiciones laborales para la población ocupada que contribuyan a la generación  de empleo, la formalización laboral, la movilidad laboral, la formación y capacitación del recurso humano en el marco del principio del trabajo decente .</t>
  </si>
  <si>
    <r>
      <t xml:space="preserve">3.1  </t>
    </r>
    <r>
      <rPr>
        <sz val="11"/>
        <rFont val="Arial Narrow"/>
        <family val="2"/>
      </rPr>
      <t>Ofrecer protección económica (beneficios monetarios) a aquellos adultos mayores que no  cuentan  con  algún  tipo  de  protección.</t>
    </r>
  </si>
  <si>
    <t xml:space="preserve">Beneficiarios del Mecanismo de Protección al Cesante </t>
  </si>
  <si>
    <t>Trimestral</t>
  </si>
  <si>
    <t>Generar alternativas para crear empleos de calidad y el aseguramiento ante la falta de ingresos y los riesgos laborales</t>
  </si>
  <si>
    <t>Dirección de Generación y Protección del Empleo y Subsidio Familiar</t>
  </si>
  <si>
    <r>
      <rPr>
        <b/>
        <sz val="11"/>
        <rFont val="Arial Narrow"/>
        <family val="2"/>
      </rPr>
      <t xml:space="preserve">3.2 </t>
    </r>
    <r>
      <rPr>
        <sz val="11"/>
        <rFont val="Arial Narrow"/>
        <family val="2"/>
      </rPr>
      <t xml:space="preserve"> Realizar seguimiento y evaluación de las políticas de formalización laboral.</t>
    </r>
  </si>
  <si>
    <t>Tasa de Formalidad para 13 áreas Metropolitanas</t>
  </si>
  <si>
    <t>Extensión de la protección y la seguridad social</t>
  </si>
  <si>
    <t>Tasa de formalidad nacional</t>
  </si>
  <si>
    <t>36.00%</t>
  </si>
  <si>
    <t>34.90%</t>
  </si>
  <si>
    <t>35.30%</t>
  </si>
  <si>
    <t>35.60%</t>
  </si>
  <si>
    <r>
      <rPr>
        <b/>
        <sz val="11"/>
        <rFont val="Arial Narrow"/>
        <family val="2"/>
      </rPr>
      <t xml:space="preserve">3.3  </t>
    </r>
    <r>
      <rPr>
        <sz val="11"/>
        <rFont val="Arial Narrow"/>
        <family val="2"/>
      </rPr>
      <t>Fomentar el mejoramiento de la capacitación de trabajadores en empresa con calidad y pertinencia.</t>
    </r>
  </si>
  <si>
    <t xml:space="preserve">Personas formadas en empresa 
</t>
  </si>
  <si>
    <t>Dirección de Movilidad y Formación para el Empleo</t>
  </si>
  <si>
    <r>
      <rPr>
        <b/>
        <sz val="11"/>
        <rFont val="Arial Narrow"/>
        <family val="2"/>
      </rPr>
      <t xml:space="preserve">3.4  </t>
    </r>
    <r>
      <rPr>
        <sz val="11"/>
        <rFont val="Arial Narrow"/>
        <family val="2"/>
      </rPr>
      <t>Fomentar,  incrementar  y contribuir a la cobertura del Sistema Pensional, y el ahorro para  la vejez</t>
    </r>
  </si>
  <si>
    <t>Adultos mayores con pensión</t>
  </si>
  <si>
    <t>Garantizar los mínimos vitales y avanzar en el fortalecimiento de las
capacidades de la población en pobreza extrema para su efectiva inclusión social y
productiva (Sistema de Promoción Social).</t>
  </si>
  <si>
    <t>Dirección de Pensiones y otras Prestaciones</t>
  </si>
  <si>
    <r>
      <rPr>
        <b/>
        <sz val="11"/>
        <rFont val="Arial Narrow"/>
        <family val="2"/>
      </rPr>
      <t xml:space="preserve">3.5  </t>
    </r>
    <r>
      <rPr>
        <sz val="11"/>
        <rFont val="Arial Narrow"/>
        <family val="2"/>
      </rPr>
      <t>Fortalecer el subsidio familiar como prestación social de los trabajadores a partir de la actualización integral del sistema de compensación y subsidio familiar.</t>
    </r>
  </si>
  <si>
    <t>Empresas afiliadas a cajas de compensación familiar</t>
  </si>
  <si>
    <t xml:space="preserve">Garantizar la igualdad de oportunidades para todos, contribuyendo a la preservación y la formación de capital humano y social, para el mejoramiento de la calidad de vida de las personas y el fomento de la movilidad social. </t>
  </si>
  <si>
    <t>Superintendencia del Subsidio Familiar</t>
  </si>
  <si>
    <r>
      <rPr>
        <b/>
        <sz val="11"/>
        <rFont val="Arial Narrow"/>
        <family val="2"/>
      </rPr>
      <t xml:space="preserve">3.6  </t>
    </r>
    <r>
      <rPr>
        <sz val="11"/>
        <rFont val="Arial Narrow"/>
        <family val="2"/>
      </rPr>
      <t>Certificar los aprendices en cada una de sus programas de formacion.
 </t>
    </r>
  </si>
  <si>
    <t>Número de Certificaciones expedidas en Educación Superior</t>
  </si>
  <si>
    <t>Semestral</t>
  </si>
  <si>
    <t>Colombia equitativa y sin pobreza extrema 
Colombia la más educada</t>
  </si>
  <si>
    <t>Lograr  mejores  condiciones  laborales  para  la  población ocupada,  en  desarrollo  del  principio  del trabajo decente, con plena protección social y ambientes laborales propicios, de tal forma que la productividad del país aumente</t>
  </si>
  <si>
    <t>Número de Certificaciones expedidas en Formación Técnica Laboral y Otros</t>
  </si>
  <si>
    <t>Número de Certificaciones expedidas en Formación Complementaria</t>
  </si>
  <si>
    <t xml:space="preserve"> Certificaciones expedidas en Formación Profesional Integral</t>
  </si>
  <si>
    <t xml:space="preserve">Número de Perfiles Ocupacionales </t>
  </si>
  <si>
    <r>
      <rPr>
        <b/>
        <sz val="11"/>
        <rFont val="Arial Narrow"/>
        <family val="2"/>
      </rPr>
      <t xml:space="preserve">3.7  </t>
    </r>
    <r>
      <rPr>
        <sz val="11"/>
        <rFont val="Arial Narrow"/>
        <family val="2"/>
      </rPr>
      <t xml:space="preserve">Evaluar y Certificar las competencias laborales, que permitirá más eficiencia y calidad en las certificaciones  en tres niveles: básico, medio y avanzado.  
</t>
    </r>
  </si>
  <si>
    <t>Número de normas sectoriales de Competencia Laboral</t>
  </si>
  <si>
    <t>Impulsar y fortalecer la formación pertinente para el trabajo</t>
  </si>
  <si>
    <r>
      <rPr>
        <b/>
        <sz val="11"/>
        <rFont val="Arial Narrow"/>
        <family val="2"/>
      </rPr>
      <t xml:space="preserve">3.8  </t>
    </r>
    <r>
      <rPr>
        <sz val="11"/>
        <rFont val="Arial Narrow"/>
        <family val="2"/>
      </rPr>
      <t xml:space="preserve">Certificar competencias laborales focalizada en mejorar la productividad de los trabajadores actuales y de personas nuevas que se inserten laboralmente a los macroproyectos de País y regionales. </t>
    </r>
  </si>
  <si>
    <t>Número de personas Evaluadas para ser Certificadas en Competencias Laborales</t>
  </si>
  <si>
    <r>
      <rPr>
        <b/>
        <sz val="11"/>
        <rFont val="Arial Narrow"/>
        <family val="2"/>
      </rPr>
      <t xml:space="preserve">3.9 </t>
    </r>
    <r>
      <rPr>
        <sz val="11"/>
        <rFont val="Arial Narrow"/>
        <family val="2"/>
      </rPr>
      <t xml:space="preserve"> </t>
    </r>
    <r>
      <rPr>
        <b/>
        <sz val="11"/>
        <rFont val="Arial Narrow"/>
        <family val="2"/>
      </rPr>
      <t xml:space="preserve"> </t>
    </r>
    <r>
      <rPr>
        <sz val="11"/>
        <rFont val="Arial Narrow"/>
        <family val="2"/>
      </rPr>
      <t>Focalización del desarrollo de la asociatividad solidaria hacia sectores estratégicos.</t>
    </r>
  </si>
  <si>
    <t xml:space="preserve">Número de personas  beneficiadas a través de procesos de fomento o fortalecimeinto en organizaciones en marcha. </t>
  </si>
  <si>
    <t xml:space="preserve">Promover el desarrollo económico incluyente del país y sus regiones
</t>
  </si>
  <si>
    <t xml:space="preserve">Personas capacitadas en curso básico de economía solidaria </t>
  </si>
  <si>
    <t xml:space="preserve">Empleos reportados por las organizaciones solidarias con registro vigente en cámara de comercio </t>
  </si>
  <si>
    <t>Bimensual</t>
  </si>
  <si>
    <r>
      <rPr>
        <b/>
        <sz val="11"/>
        <rFont val="Arial Narrow"/>
        <family val="2"/>
      </rPr>
      <t>3.10</t>
    </r>
    <r>
      <rPr>
        <sz val="11"/>
        <rFont val="Arial Narrow"/>
        <family val="2"/>
      </rPr>
      <t xml:space="preserve"> Mejorar cobertura, calidad y pertinencia en la formación para el trabajo</t>
    </r>
    <r>
      <rPr>
        <sz val="11"/>
        <color rgb="FFFF0000"/>
        <rFont val="Arial Narrow"/>
        <family val="2"/>
      </rPr>
      <t xml:space="preserve"> </t>
    </r>
  </si>
  <si>
    <t xml:space="preserve">Cupos en formación complementaria del SENA para la región Eje Cafetero y Antioquia </t>
  </si>
  <si>
    <t>Cupos en formación titulada del SENA para la región Eje Cafetero y Antioquia</t>
  </si>
  <si>
    <t>Cupos en formación integral del SENA para la región Pacífico</t>
  </si>
  <si>
    <t>Cupos en formación integral del SENA para la región de los Llanos</t>
  </si>
  <si>
    <t xml:space="preserve">Cupos asignados para  formación para el trabajo y el emprendimiento para el Pueblo Rrom </t>
  </si>
  <si>
    <t>SD</t>
  </si>
  <si>
    <t>Aprendices en formación profesional integral</t>
  </si>
  <si>
    <t>Aprendices en poblaciones vulnerables</t>
  </si>
  <si>
    <t>Aprendices en  el programa Sena emprende rural</t>
  </si>
  <si>
    <t>Aprendices en formación virtual</t>
  </si>
  <si>
    <t>Aprendices en programa de bilingúismo</t>
  </si>
  <si>
    <t>Proyectos productivos apoyados para el pueblo Rom.</t>
  </si>
  <si>
    <t>4. Fortalecer el Sistema de Seguridad Social mediante la promoción y la equidad de la cobertura de afiliación en pensiones, riesgos laborales,  subsidio familiar, el reconocimiento de servicios sociales complementarios  y la protección de manera progresiva de los ingresos de las personas en su vejez.</t>
  </si>
  <si>
    <r>
      <rPr>
        <b/>
        <sz val="11"/>
        <rFont val="Arial Narrow"/>
        <family val="2"/>
      </rPr>
      <t xml:space="preserve">4.1  </t>
    </r>
    <r>
      <rPr>
        <sz val="11"/>
        <rFont val="Arial Narrow"/>
        <family val="2"/>
      </rPr>
      <t xml:space="preserve">Ampliar la cobertura del subsidio familiar </t>
    </r>
  </si>
  <si>
    <t>Afiliados a Cajas de Compensación</t>
  </si>
  <si>
    <r>
      <rPr>
        <b/>
        <sz val="11"/>
        <rFont val="Arial Narrow"/>
        <family val="2"/>
      </rPr>
      <t xml:space="preserve">4.2 </t>
    </r>
    <r>
      <rPr>
        <sz val="11"/>
        <rFont val="Arial Narrow"/>
        <family val="2"/>
      </rPr>
      <t xml:space="preserve"> Promover y diseñar politicas, y estrategias para el  mejoramiento y desarrollo del Sistema General de Riesgos Laborales</t>
    </r>
  </si>
  <si>
    <t>Afiliados a riesgos laborales</t>
  </si>
  <si>
    <t>Dirección de Riesgos Laborales</t>
  </si>
  <si>
    <r>
      <rPr>
        <b/>
        <sz val="11"/>
        <rFont val="Arial Narrow"/>
        <family val="2"/>
      </rPr>
      <t xml:space="preserve">4.3 </t>
    </r>
    <r>
      <rPr>
        <sz val="11"/>
        <rFont val="Arial Narrow"/>
        <family val="2"/>
      </rPr>
      <t xml:space="preserve"> Fomentar,  incrementar  y contribuir a la cobertura del Sistema Pensional, y el ahorro para  la vejez</t>
    </r>
  </si>
  <si>
    <t>Afiliados activos a pensiones</t>
  </si>
  <si>
    <t>Beneficiarios del programa Colombia Mayor (acumulado)</t>
  </si>
  <si>
    <t>Bimestral</t>
  </si>
  <si>
    <t>Porcentaje de adultos mayores con algún tipo de protección a los ingresos</t>
  </si>
  <si>
    <r>
      <rPr>
        <b/>
        <sz val="11"/>
        <rFont val="Arial Narrow"/>
        <family val="2"/>
      </rPr>
      <t>4.4</t>
    </r>
    <r>
      <rPr>
        <sz val="11"/>
        <rFont val="Arial Narrow"/>
        <family val="2"/>
      </rPr>
      <t xml:space="preserve">  Promover el uso de los beneficios económicos periódicos BEPS</t>
    </r>
  </si>
  <si>
    <t>Personas vinculadas a los beneficios económicos periódicos</t>
  </si>
  <si>
    <t>Colpensiones</t>
  </si>
  <si>
    <r>
      <rPr>
        <b/>
        <sz val="11"/>
        <rFont val="Arial Narrow"/>
        <family val="2"/>
      </rPr>
      <t xml:space="preserve">4.5 </t>
    </r>
    <r>
      <rPr>
        <sz val="11"/>
        <rFont val="Arial Narrow"/>
        <family val="2"/>
      </rPr>
      <t xml:space="preserve"> Desarrollar una estrategia para reducir los tiempos y para resolver con calidad los reconocimientos de pensiones, en particular en el Régimen de Prima Media</t>
    </r>
  </si>
  <si>
    <t>Porcentaje  Solicitudes de reconocimiento  con términoclegal cumplido resueltas</t>
  </si>
  <si>
    <t>Generar alternativas para crear empleos de calidad y acceder al
aseguramiento ante la falta de ingresos y los riesgos laborales.</t>
  </si>
  <si>
    <t>5.  Fortalecer las instituciones del Sector Trabajo y la rendición de cuentas en ejercicio del Buen Gobierno, en búsqueda de la modernización, eficiencia y eficacia.</t>
  </si>
  <si>
    <r>
      <rPr>
        <b/>
        <sz val="11"/>
        <rFont val="Arial Narrow"/>
        <family val="2"/>
      </rPr>
      <t xml:space="preserve"> 5.1   </t>
    </r>
    <r>
      <rPr>
        <sz val="11"/>
        <rFont val="Arial Narrow"/>
        <family val="2"/>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</si>
  <si>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t>Ejecución presupuestal proyectos de Inversión Sector Trabajo</t>
  </si>
  <si>
    <t>Buen Gobierno</t>
  </si>
  <si>
    <t xml:space="preserve">    Promover una gestión pública transparente que facilite el acceso a la información pública y prevenga la corrupción. </t>
  </si>
  <si>
    <t>Oficina Asesora de Planeación</t>
  </si>
  <si>
    <r>
      <rPr>
        <b/>
        <sz val="11"/>
        <rFont val="Arial Narrow"/>
        <family val="2"/>
      </rPr>
      <t xml:space="preserve">5.2 </t>
    </r>
    <r>
      <rPr>
        <sz val="11"/>
        <rFont val="Arial Narrow"/>
        <family val="2"/>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</si>
  <si>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t>Número de servidores públicos capacitados</t>
  </si>
  <si>
    <t xml:space="preserve">Mejorar la efectividad de la gestión pública y el servicio al ciudadano a nivel nacional y territorial. </t>
  </si>
  <si>
    <r>
      <rPr>
        <b/>
        <sz val="11"/>
        <rFont val="Arial Narrow"/>
        <family val="2"/>
      </rPr>
      <t>5.3</t>
    </r>
    <r>
      <rPr>
        <sz val="11"/>
        <rFont val="Arial Narrow"/>
        <family val="2"/>
      </rPr>
      <t xml:space="preserve"> Fortalecer los procesos de atención al ciudadano y proveer un servicio cercano, pertinente y de calidad a los usuarios</t>
    </r>
  </si>
  <si>
    <t>Implementación del plan anticorrupción y de Atención al Ciudadano</t>
  </si>
  <si>
    <t>Cuatrimestral</t>
  </si>
  <si>
    <t>Afianzar la lucha contra la corrupción, transparencia y rendición de cuentas</t>
  </si>
  <si>
    <t>Oficina de Control Interno</t>
  </si>
  <si>
    <t xml:space="preserve"> </t>
  </si>
  <si>
    <t>Ficha Reporte de información
Principales Logros del Sector -Documentos de Cierre de Gobierno - Presidente Juan Manuel Santos</t>
  </si>
  <si>
    <t>Indicaciones para diligenciamiento: Ver FICHA GUÍA</t>
  </si>
  <si>
    <t>LOGRO No. 2</t>
  </si>
  <si>
    <t>Sector</t>
  </si>
  <si>
    <t xml:space="preserve">Trabajo </t>
  </si>
  <si>
    <t>Agricultura y Desarrollo Rural</t>
  </si>
  <si>
    <t>Título/Nombre del logro</t>
  </si>
  <si>
    <t>Personas beneficiadas a través de procesos asociativos solidarios</t>
  </si>
  <si>
    <t>Ambiente y Desarrollo Sostenible</t>
  </si>
  <si>
    <t xml:space="preserve">Descripción del logro </t>
  </si>
  <si>
    <t xml:space="preserve">La Unidad Administrativa Especial de Organizaciones Solidarias en desarrollo de su misión adelanta procesos de creacion y fortalecimento de organizaciones solidiarias en Colombia contribuyendo a la generación de ingresos  y al mejoramiento de la calidad de vida de la poblacion beneficiada directamente y al de sus familias </t>
  </si>
  <si>
    <t>Ciencia y Tecnología</t>
  </si>
  <si>
    <t>Principal indicador asociado con el logro (Indicador Trazador)</t>
  </si>
  <si>
    <t xml:space="preserve">Número de personas beneficiadas </t>
  </si>
  <si>
    <t>Comercio, Industria y Turismo</t>
  </si>
  <si>
    <t>Unidad de medida del indicador</t>
  </si>
  <si>
    <t xml:space="preserve">Número </t>
  </si>
  <si>
    <t>Cultura</t>
  </si>
  <si>
    <t>Serie histórica del indicador</t>
  </si>
  <si>
    <t>Año</t>
  </si>
  <si>
    <t>Dato</t>
  </si>
  <si>
    <t>Defensa</t>
  </si>
  <si>
    <t>Deporte</t>
  </si>
  <si>
    <t>Educación</t>
  </si>
  <si>
    <t>Estadística</t>
  </si>
  <si>
    <t>Función Pública</t>
  </si>
  <si>
    <t>Hacienda y Crédito Público</t>
  </si>
  <si>
    <t>Inclusión Social y Reconciliación</t>
  </si>
  <si>
    <t>Interior</t>
  </si>
  <si>
    <t>Fuente</t>
  </si>
  <si>
    <t>Inteligencia Estratégica</t>
  </si>
  <si>
    <t>Observaciones sobre el indicador</t>
  </si>
  <si>
    <t xml:space="preserve">
La Unidad Administrativa Especial de Organizaciones solidarias beneficia principalmente a población en condición de vulnerabilidad, población víctima del conflicto, indígena, afro, campesinos a quienes la asociatividad solidaria les brinda la posibilidad de generación de ingresos y mejoramiento de su calidad de vida. Para vigencia 2016   no se encuentran regionalizadas 1000 personas beneficiadas 
</t>
  </si>
  <si>
    <t>Justicia y del Derecho</t>
  </si>
  <si>
    <t xml:space="preserve">¿Se dispone de información desagregada territorialmente para el indicador? </t>
  </si>
  <si>
    <t>Minas y Energía</t>
  </si>
  <si>
    <t>Planeación</t>
  </si>
  <si>
    <t>Sí</t>
  </si>
  <si>
    <t>No</t>
  </si>
  <si>
    <t>Presidencia de la República</t>
  </si>
  <si>
    <t>Si se dispone de información desagregada territorialmente para el indicador, por favor, diligencie la información anual por departamento</t>
  </si>
  <si>
    <t>Relaciones Exteriores</t>
  </si>
  <si>
    <t>Departamento</t>
  </si>
  <si>
    <t>Salud y Protección Social</t>
  </si>
  <si>
    <t>ANTIOQUIA</t>
  </si>
  <si>
    <t xml:space="preserve">Tecnologías de la Información y las Comunicaciones </t>
  </si>
  <si>
    <t>ATLÁNTICO</t>
  </si>
  <si>
    <t>BOGOTÁ D.C.</t>
  </si>
  <si>
    <t>Transporte</t>
  </si>
  <si>
    <t>BOLÍVAR</t>
  </si>
  <si>
    <t>Vivienda, Ciudad y Territorio</t>
  </si>
  <si>
    <t>BOYACÁ</t>
  </si>
  <si>
    <t>CALDAS</t>
  </si>
  <si>
    <t>CAQUETÁ</t>
  </si>
  <si>
    <t>CAUCA</t>
  </si>
  <si>
    <t>CESAR</t>
  </si>
  <si>
    <t>CÓRDOBA</t>
  </si>
  <si>
    <t>CUNDINAMARCA</t>
  </si>
  <si>
    <t>CHOCÓ</t>
  </si>
  <si>
    <t>HUILA</t>
  </si>
  <si>
    <t>LA GUAJIRA</t>
  </si>
  <si>
    <t>MAGDALENA</t>
  </si>
  <si>
    <t>NARIÑO</t>
  </si>
  <si>
    <t>N. DE SANTANDER</t>
  </si>
  <si>
    <t>QUINDÍO</t>
  </si>
  <si>
    <t>RISARALDA</t>
  </si>
  <si>
    <t>SANTANDER</t>
  </si>
  <si>
    <t>SUCRE</t>
  </si>
  <si>
    <t>TOLIMA</t>
  </si>
  <si>
    <t>VALLE DEL CAUCA</t>
  </si>
  <si>
    <t>ARAUCA</t>
  </si>
  <si>
    <t>CASANARE</t>
  </si>
  <si>
    <t>PUTUMAYO</t>
  </si>
  <si>
    <t>SAN ANDRÉS</t>
  </si>
  <si>
    <t>AMAZONAS</t>
  </si>
  <si>
    <t>GUAINÍA</t>
  </si>
  <si>
    <t>GUAVIARE</t>
  </si>
  <si>
    <t>VAUPÉS</t>
  </si>
  <si>
    <t>VICHADA</t>
  </si>
  <si>
    <t>Soportes</t>
  </si>
  <si>
    <t>¿Incluye anexos?</t>
  </si>
  <si>
    <t>x</t>
  </si>
  <si>
    <t>En caso de incluir anexos, por favor, relacionelos</t>
  </si>
  <si>
    <t>Responsable del diligenciamiento de la ficha</t>
  </si>
  <si>
    <t>Nombre</t>
  </si>
  <si>
    <t xml:space="preserve">Erika Johanna Moreno Rodriguez </t>
  </si>
  <si>
    <t>Cargo</t>
  </si>
  <si>
    <t xml:space="preserve">Directora Tecnica de Organizaciones solidarias </t>
  </si>
  <si>
    <t>Entidad</t>
  </si>
  <si>
    <t xml:space="preserve">Unidad Administrativa Especial de Organizaciones Solidarias </t>
  </si>
  <si>
    <t>Correo electrónico</t>
  </si>
  <si>
    <t>emoreno@orgsolidarias.gov.co</t>
  </si>
  <si>
    <t>N° telefóno</t>
  </si>
  <si>
    <t>3275252 ext 116</t>
  </si>
  <si>
    <t>LOGRO No. 1</t>
  </si>
  <si>
    <t xml:space="preserve">Se reporta el número de personas capacitadas en  el curso básico de economía solidaria a nivel nacional  a través de las  entidades acreditadas por la Unidad Administrativa Especial de Organizaciones Solidarias,  con el fin de  determinar la cobertura en difusión del modelo asociativo y en el fomento de organizaciones solidarias dando cumplimiento a lo  estipulado en  el Decreto Anti trámites 019 de 2012  que estipula que para la conformación de una organización de economía solidaria (Cooperativas, fondos de empleados y asociaciones mutuales), es necesario que sus asociados certifiquen la capacitación en el curso básico de economía solidaria.
La Unidad Administrativa Especial de Organizaciones Solidarias en articulación con el Ministerio del Trabajo, el Ministerio de Agricultura y el SENA, ampliará la cobertura de los programas de formación para el trabajo enfocados al emprendimiento, y asociatividad, coadyuvando a fomentar y fortalecer organizaciones solidarias. Adicionalmente en trabajo conjunto con el Ministerio de Educación y el DPS, se promoverán procesos de formación terciaria para jóvenes y programas de emprendimiento asociativo solidario, buscando controlar aumentos en la participación laboral que presionen la tasa de desempleo.
</t>
  </si>
  <si>
    <t xml:space="preserve">Numero de Personas Capacitadas   </t>
  </si>
  <si>
    <t xml:space="preserve">Las entidades acreditadas para impartir curso básico de economía solidaria, reportan semestralmente a la Unidad Administrativa las bases de datos con información de las personas capacitadas. Para la vigencia 2014 se  cuenta con la regionalización de 10826 personas, 14134 personas se catalogan estadisticamnente en  Nacional  </t>
  </si>
  <si>
    <t>X</t>
  </si>
  <si>
    <t xml:space="preserve">Jose Efrain Cuy </t>
  </si>
  <si>
    <t xml:space="preserve">Profesional Esepcializado </t>
  </si>
  <si>
    <t xml:space="preserve">Unidad Administrativa especial de organizaciones solidarias </t>
  </si>
  <si>
    <t>jcuy@orgsolidarias.gov.co</t>
  </si>
  <si>
    <t>3275252 ext 217</t>
  </si>
  <si>
    <t>LOGRO No. 3</t>
  </si>
  <si>
    <t xml:space="preserve">Redes o cadenas productivas promovidas o dinamizadas- Compras públicas locales </t>
  </si>
  <si>
    <t xml:space="preserve">Propender por el fomento y fortalecimiento en desarrollo integral de la economía local en los territorios a partir de la oferta de alimentos, bienes y servicios de las organizaciones solidarias con destino a los programas Sociales del país planteando como objetivos 
• 1. Promover hábitos de alimentación saludable y cultural.
• 2.Fortalecer la participación de las familias campesinas a través de la Asociatividad 
• 3.Empoderamiento de la comunidad con enfoque étnico y de género 
• 4.Calidad e inocuidad de los alimentos 
• 5. Facilita la Generación de empleo y precio justo.
</t>
  </si>
  <si>
    <t xml:space="preserve">Redes o cadenas productivas promovidas o dinamizadas
</t>
  </si>
  <si>
    <t>6 (proyectadas)</t>
  </si>
  <si>
    <t xml:space="preserve">En las bases  del Plan de Desarrollo 2014-2018 la Unidad Administrativa Especial de Organizaciones Solidarias tiene la tarea de  impulsar la asociatividad solidaria con el fin de contribuir a la paz, equidad y educación y las estrategias transversales de movilidad social, transformación del campo, equidad, y buen gobierno, además de implementar estrategias regionales como la contribuir al desarrollo de las organizaciones rurales para que se articulen en cadenas y redes productivas, mejorando sus condiciones de competitividad e inserción en los mercados de insumos y productos.
10 Encuentros entre la demanda y la oferta ICBF,MEN yUSPEC  (Entidades Territoriales como Cámara de Comercio, ICBF Regionales, Academia, SENA, Gobernaciones, Alcaldías y sus  Secretarias Educación y Desarrollo  y productores locales.
En 9 ciudades capitales; Boyacá, Risaralda, Meta, Córdoba, Sucre, Caquetá, Magdalena, Putumayo y Santander y en el Municipio de Garagoa Boyacá con los siguientes resultados: 
Operadores:  332.
Organizaciones: 370 
Acuerdos Firmados: 299
Compras Mensuales: $ 2.099.068.784 cumplimiento 
Con Invima se Realizaron capacitaciones de acuerdo con Circular No. DAB 400 con orientación de los requisitos sanitarios que deben cumplir los fabricantes, procesadores, envasadores, bodegas de almacenamiento , transportadores, distribuidores y comercializadores  de alimentos y bebidas.
Para el cumplimiento de lo anterior  la Unidad Administrativa implementa  diseñó la estrategia de compras locales y la implementa desde  la vigencia 2016 en articulación con otras entidades como la Alta Consejeria para las regiones, SENA FAO, PMA,UNODC, ICBF, el Ministerio de Agricultura y Desarrollo Rural, Ministerio de Educación, INVIMA, Ministerio de Salud, autoridades locales, secretaria de Desarrollo Económico del Distrito Capital, USPEC , Camaras de Comercio, academia, entre otras .
Durante la vigencia 2017 y lo corrido 2018 la Unidad presentó la propuesta del proyecto de ley  de las compras públicas locales a la mesa interistitucional de comproas públicas 
</t>
  </si>
  <si>
    <t xml:space="preserve">Se incluye presentación principales resultados 2016-2017 y proyección 2018 ( Anexo 1)
</t>
  </si>
  <si>
    <t xml:space="preserve">Erika Moreno Rodriguez </t>
  </si>
  <si>
    <t xml:space="preserve">Directora Tecnica de Desarrollo de Organizaciones Solidarias </t>
  </si>
  <si>
    <t>3275252 ecxt 116</t>
  </si>
  <si>
    <t>% Plan Anticorrupcion</t>
  </si>
  <si>
    <t>ESTRATEGIA TRANSVERSAL</t>
  </si>
  <si>
    <t>OBJETIVOS</t>
  </si>
  <si>
    <t>ESTRATEGIAS</t>
  </si>
  <si>
    <t>LINEAMIENTOS</t>
  </si>
  <si>
    <t>ACTIVIDADES</t>
  </si>
  <si>
    <t>AVANCE CON CORTE 31 DE DICIEMBRE DE 2015</t>
  </si>
  <si>
    <t>AVANCE CON CORTE 31 DE DICIEMBRE DE 2016</t>
  </si>
  <si>
    <t xml:space="preserve">1 trimestre </t>
  </si>
  <si>
    <t xml:space="preserve">2 trimestre </t>
  </si>
  <si>
    <t xml:space="preserve">3  trimestre </t>
  </si>
  <si>
    <t>AVANCE CON CORTE 31 DE DICIEMBRE DE 2017</t>
  </si>
  <si>
    <t>QUE HACE FALTA PARA CUMPLIR EL COMPROMISO EN 2018</t>
  </si>
  <si>
    <t xml:space="preserve">Cualitativo </t>
  </si>
  <si>
    <t>DESCRIPCION  DEL AVANCE ALCANZADO</t>
  </si>
  <si>
    <t>MOVILIDAD SOCIAL</t>
  </si>
  <si>
    <t xml:space="preserve">1. Garantizar los mínimos vitales y avanzar en el fortalecimiento de las capacidades de la población en pobreza extrema para su efectiva inclusión social y productiva (Sistema de Promoción Social) </t>
  </si>
  <si>
    <t>Incentivar la generación de ingresos de la población para superar la pobreza</t>
  </si>
  <si>
    <t>Implementar la política pública nacional de discapacidad e inclusión social en el ámbito nacional y territorial</t>
  </si>
  <si>
    <t>Fortalecer las capacidades de la población pobre y vulnerable asegurando el acceso y pertinencia de programas de formación</t>
  </si>
  <si>
    <t>Aumentar el acceso a programas de emprendimiento y fortalecimiento empresarial individual y asociativo</t>
  </si>
  <si>
    <t xml:space="preserve">Garantizar la inclusión social y productiva de las personas con discapacidad </t>
  </si>
  <si>
    <t>El Ministerio de Agricultura y Desarrollo Rural y el Ministerio del Trabajo, en coordinación con la Unidad Administrativa Especial de Organizaciones Solidarias, ampliarán  la cobertura de los programas de formación para el trabajo enfocados al emprendimiento, autoempleo y asociatividad. Para esto deberán definir los aspectos logísticos, administrativos y operativos necesarios</t>
  </si>
  <si>
    <t>El Ministerio de Agricultura y Desarrollo Rural y el Ministerio del Trabajo en coordinación con la Unidad Administrativa Especial de Organizaciones Solidarias y el DPS, contribuirán al desarrollo de las organizaciones rurales para que se articulen en cadenas y redes productivas, mejorando sus condiciones de competitividad e inserción en los mercados de insumos y productos</t>
  </si>
  <si>
    <t>En relación con los grupos étnicos, se identificarán y fortalecerán experiencias exitosas de organización solidaria que permitan la inclusión social en particular de las personas víctimas del conflicto armado.</t>
  </si>
  <si>
    <t>De esta manera el Servicio Nacional de Aprendizaje, las Cajas de Compensación Familiar, la Unidad Administrativa Especial de Organizaciones Solidarias y las Administradoras de Riesgos Laborales desarrollarán programas de formación y de reentrenamiento laboral, para promover la incorporación de las personas con discapacidad a la vida productiva, como trabajadores o como empresarios, según sus competencias</t>
  </si>
  <si>
    <t>Grupo Educación e Investigación</t>
  </si>
  <si>
    <t xml:space="preserve">Dirección de Desarrollo de las Organizaciones Solidarias 
</t>
  </si>
  <si>
    <t>Un programa realizado en el 2015, frente a la actualización del curso básico de Economía Solidaria, para ser utilizado en la plataforma virtual.
Esta meta es acumulada</t>
  </si>
  <si>
    <t>Se conformaron 3 cooperativas de población afrocolombiana , negra en Chocó, se crearon 6 organizaciones de población afro, negra palenquera y raizal con el convenio FONTUR - Organizaciones Solidarias  en el marco de la mesa nacional de turismo para esta población, se fortalecieron 104 CNART, se crearon 14 emprendimeintos de turismo comunitari.Se creo la Agencia Nacional de Servicios Turistico Afros, de los cuales se beneficiaron  485 Líderes representantes de las distintas organizaciones de comunidades negras, afrocolombianas, raizales y palenqueras</t>
  </si>
  <si>
    <t>Durante la vigencia 2015, la Unidad Administrativa adelantó procesos de promoción, fomento, fortalecimiento, formación y capacitación en 28 departamentos del país a través de alianzas estratégicas obteniendo los siguientes resultados: 40 organizaciones creadas y 80 organzaciones fortalecidas.</t>
  </si>
  <si>
    <t>se adelantaron acciones con el fin de identificar y diagnosticar redes o cadenas productivas, asociativas solidarias en los departamentos de Cundinamarca, Eje cafetero y Boyacá, organizaciones solidarias que cuentan con redes o cadenas productivas enfocadas en la producción agrícola, avícola, apícola, artesanías, confecciones, ganadería, psicultura, porcinos, turismo y servicios.</t>
  </si>
  <si>
    <t xml:space="preserve"> Vigencia 2016 se diseñaron 3 programas de formación:  1) Programa Integral: Se realiza donde se repalantean los titulos de los paquetes solidarios proponiendo cambios en dos de ellos asi:  i) Diagnostico ii)Empoderamiento Comunitario iii)Desarrollo  Territorial iv)Monitoreo y Evaluación  y v)Emprendimiento Solidario, asi mismo se avanza en la presentacion del programa  a la Unidad y en el contenido de algunos paquetes solidarios con base en material existente en la entidad para posteriormente ser actualizado.
2) Programa Formar para Servir. 3) Programa Forjador de Facilitadores presencial : Se realiza el documento consolidado de la experiencia del diplomado co-operando, complementandolo con las observaciones del documento anexado por Ascoop, como insumo de complemnetario, se ordenó ultimo pago y se realizó desembolso respectivo. 
</t>
  </si>
  <si>
    <t xml:space="preserve"> Vigencia 2016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los Departamentos de Boyacá, Meta, Cundinamarca y Risaralda, dando así cumplimiento a la meta propuesta.</t>
  </si>
  <si>
    <t xml:space="preserve">La Unidad Administrativa implementa un proyecto dirigido a población víctima, denominado: Desarrollo de emprendimientos solidarios a través de negocios inclusivos a nivel nacional. El objetivo principal del proyecto es crear y/o fortalecer emprendimientos y empresas asociativas solidarias mediante la estrategia de negocios inclusivos, para la generación de ingresos y la superación de la pobreza de la población víctima del conflicto armado.  durante la vigencia 2016 se benficiaron   886  personas  en condición de víctimas, de los cuales el 65%  son mujeres </t>
  </si>
  <si>
    <t xml:space="preserve">En la vigencia 2016, en los proyectos desarollados en la Unidad Administrartiva se beneficiaron un total de 162 personas con discapacidad en los programas de fomento y fortalecimiento, de los cuales 17 tiene discapacidad auditiva, 33 discapacidad fisica, 100 discapacidad visual y 12 discapacidad multiple. </t>
  </si>
  <si>
    <t xml:space="preserve">Durante la vigencia 2017 se diseñaron 3 programas educativos  para un indicador acumulado de 6 que permitirán con su implementación divulgar la cultura asociativa solidaria en el territorio colombiano: 
Curso Básico de economía solidaria – reincorporación
Formar para servir; Enfoque y metodología
Curso en economía solidaria aplicada a la construcción de paz
</t>
  </si>
  <si>
    <t>Se tiene proyectado el diseño  de 2 programas de formación y la actualización del  programa integral de intervención, con los que se busca Cualificación en el conocimiento del modelo asociativo solidario, ampliando la oferta de formación en el  modelo asociativo solidario y en temáticas  que contribuyan a su desarrollo</t>
  </si>
  <si>
    <t xml:space="preserve">Redes o cadenas productivas promovidas o dinamizadas: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5 departamentos. Se adelantaron seis  encuentros (Rueda de negocios) ICBF- MEN (Entidades Territoriales Gobernaciones y Secretarias Educación) en: 
 Seis  Encuentros (Rueda de negocios) ICBF- MEN (Entidades Territoriales Gobernaciones y Secretarias Educación)
 Departamentos: Sucre (Sincelejo), Caquetá (Florencia), Magdalena (Santa marta), Santander (Bucaramanga) y Putumayo (Mocoa).
 Municipio: Garagoa Boyacá 
 Operadores: 175 en los 5 encuentros 
 Organizaciones: 114 (Asociaciones, Cooperativas locales).
 Acuerdos Firmados: 158
Compras Mensuales: $ 944.269.121 USD: 314.756.
</t>
  </si>
  <si>
    <t>Durante la vigencia 2018 se tiene proyectado  contribuir con el  desarrollo integral de la economía local en los territorios a partir de la oferta de alimentos, bienes y servicios de las organizaciones solidarias con destino a los programas Sociales del país, promoviendo  6 redes o cadenas productivas en los departamentos de Antioquia, Cesar, Choco, Guajira, Nariño  y Tolima</t>
  </si>
  <si>
    <t xml:space="preserve">La Unidad Administrativa implementa un proyecto dirigido a población víctima, denominado denominado "Desarrollo de emprendimientos solidarios a través de negocios inclusivos a nivel nacional". El objetivo principal del proyecto es crear y/o fortalecer emprendimientos y empresas asociativas solidarias mediante la estrategia de negocios inclusivos, para la generación de ingresos y la superación de la pobreza de la población víctima del conflicto armado.  durante la vigencia 2017 se benficiaran  3,200 personas  en condición de víctimas y se atendieron en los centros de SNARIV  a 7975 personas a quienes se asesoró sobre proceos asociativos </t>
  </si>
  <si>
    <t xml:space="preserve">Durante la vigencia la 2018 la Unidad implementará el proyecto de "Desarrollo de emprendimientos solidarios a través de negocios inclusivos a nivel nacional", a través del fortalecimiento de 41 emprendimientos solidarios que buscan beneficiar a más de  2295 personas víctimas del conflicto armado </t>
  </si>
  <si>
    <t xml:space="preserve">A través de los proyectos de inversión que la Unidad benefició a  1240 personas en estado de discapacidad, de las cuales 80 tienen discpacidad  física, 1124 con  discapacidad visual, 23  discapacidad  auditiva y 13 discapacidad multiple </t>
  </si>
  <si>
    <t xml:space="preserve">La Unidad Administrativa  adelantará el fortalecimiento de 296 organizaciones solidarias  beneficiando entre otras  a población en condición de  discapacidad </t>
  </si>
  <si>
    <t>TOTAL 2018</t>
  </si>
  <si>
    <t xml:space="preserve">Cuantitativo </t>
  </si>
  <si>
    <t>negocios Inclusivos</t>
  </si>
  <si>
    <t>personas discapacitadas</t>
  </si>
  <si>
    <t>TRANSFORMACIÓN DEL CAMPO</t>
  </si>
  <si>
    <t>Acelerar la salida de la pobreza y la ampliación de la clase media rural mediante una apuesta de inclusión productiva de los pobladores rurales</t>
  </si>
  <si>
    <t>Desarrollar las capacidades productivas y comerciales de las comunidades rurales</t>
  </si>
  <si>
    <t>Desarrollar  planes de negocio y el fortalecimiento de las figuras asociativas que mejoren las capacidades productivas y comerciales en el marco de apuestas agropecuarias de impacto regional.</t>
  </si>
  <si>
    <t xml:space="preserve">A través de la metodología MYCOOP, se elaboraron 198  planes de negocio con Organizaciones solidarias , en las siguientes Regiones: Región Caribe y Centro Oriente en los Departamentos de de Bogotá, Boyacá, Cesar, Córdoba, Cundinamarca, Santander y Norte de Santander; Región Eje Cafetero y Llanos: Antioquia, Caldas, Casanare, Meta, Quindío, Risaralda y en la Región Pacifico y Centro Sur: Cauca, Valle del cauca
La meta alcanzada durante el 2015, fué fruto de un convenio ralizado
con el Ministerio de Agricultura.
</t>
  </si>
  <si>
    <t xml:space="preserve">Durante la vigencia 2016 la Unidad Administrativa Especial de Organizaciones Solidarias adelantó procesos de promoción, fomento, fortalecimiento, formación y capacitación en 25 departamentos del país y 103 municipios a través de la implementación de proyectos con componentes de innovación socioempresatial que buscan aportar a la paz, beneficiando a más 4627 personas en condición de vulnerabilidad, víctimas de la violencia y los otros constituidos en su mayoría por campesinos, afrodescendientes e indígenas. Lo anterior con la creación de 20 organizaciones y el fortalecimiento de 175 organizaciones solidarias con recursos de inversión y gestión propia de la entidad </t>
  </si>
  <si>
    <t xml:space="preserve">Durante la vigencia 2017 se adelantó la creación y fortalecimiento de 408 organizaciones solidarias beneficiando a 10286 personas. 
Se implementó el Plan Nacional de Fomento a la Economía solidaria y cooperativa Rural PLANFES a en 4 municipios San Bernardo del Viento, San Alberto, Montelibano, San Antero, reportando los siguientes indicadores:
11 Organizaciones Solidarias creadas, apoyadas y financiadas 
47  Organizaciones Solidarias fortalecidas en capacidades productivas y administrativas 
4 Municipios con estrategia de promoción de procesos organizativos a través de la asociatividad solidaria implementada 
4 Municipios con estrategia de gestión de proyectos implementada 
</t>
  </si>
  <si>
    <t xml:space="preserve">
Para vigencia 2018 se tienen proyectado fortalecer 296 organizaciones solidarias en el territorio  nacional, beneficiando a más de 7917  personas  contribuyendo  al mejoramiento de la calidad vida y la generación de ingresos de población a beneficiar
</t>
  </si>
  <si>
    <t xml:space="preserve">EJE CAFETERO Y ANTIOQUIA. CAPITAL HUMANO INNOVADOR EN TERRITORIOS INCLUYENTES. </t>
  </si>
  <si>
    <t xml:space="preserve">CONECTIVIDAD PARA LA INTEGRACIÓN Y EL DESARROLLO PRODUCTIVO SOSTENIBLE DE LA REGION CENTRO ORIENTE Y BOGOTÁ D.C. </t>
  </si>
  <si>
    <t>PACÍFICO: DESARROLLO SOCIOECONÓMICO CON EQUIDAD, INTEGRACIÓN Y SOSTENIBILIDAD AMBIENTAL</t>
  </si>
  <si>
    <t>Reducir las brechas en formación de capital humano y empleo entre subregiones</t>
  </si>
  <si>
    <t>Potenciar servicios ambientales de la franja oriental, procesos de innovación que aumenten la competitividad de la franja central y el emprendimiento de pequeños productores en toda la región</t>
  </si>
  <si>
    <t xml:space="preserve">Incentivar el crecimiento de actividades económicas para el desarrollo endógeno del litoral. </t>
  </si>
  <si>
    <t>Generar una política integral de desarrollo de los mercados laborales de las ciudades capitales del Eje Cafetero</t>
  </si>
  <si>
    <t>Promover la asociatividad, el fortalecimiento empresarial y el emprendimiento cooperativo entre pequeños productores</t>
  </si>
  <si>
    <t>Mejorar las capacidades productivas y asociativas de los productores y fomentar la investigación científica para aprovechar de manera sostenible la vocación productiva de la región</t>
  </si>
  <si>
    <t>En esta línea y con el apoyo del Ministerio de Educación Nacional, el DPS y la Unidad Administrativa Especial de Organizaciones Solidarias, se promoveránprocesos de formación terciaria para jóvenes y programas de emprendimiento asociativo solidario,buscando aumentos en la participación laboral que presiones la tasa de desempleo</t>
  </si>
  <si>
    <t>Incentivar el encadenamiento y asociatividad empresarial agropecuaria bajo un enfoque de economía agrícola familiar. Desarrollar acciones dirigidas a los pequeños productores que les permita establecer alianzas estratégicas con medianos y grandes productores y así promover: la formación de capacidades asociativas y desarrollo empresarial</t>
  </si>
  <si>
    <t>Fortalecer los esquemas asociativos de comercialización en los mercados y en los circuitos agroalimentarios locales y regionales, en especial de los pequeños productores,</t>
  </si>
  <si>
    <t>Durante la vigencia 2015 se crearon 8 organizaciones de Economía Solidaria y se fortalecieron 9 para un total de 17 organizaciones atendidas en el Eje Cafetero</t>
  </si>
  <si>
    <t>Se fortalecieron 5 organizaciones de Economía solidaria en los Departamentos de Cundinamarca, Meta y Caldas. Se creo una organización en el Departamento de Boyacá.</t>
  </si>
  <si>
    <t xml:space="preserve">En los programas desarollados en la Unidad Administrativa a corte 31 de Dic de 2016, en la región del eje cafetero y Antioquia,  se crearon y fortalecieron un total de 46 orgaizaciones, de las cuales 12 fueron en Antioquia, 3 en Caldas, 4 en Quindio y  27 en Risalda; generando un total de 1.524 personas beneficiadas en la región.  De los cuales 140 son jovenes que recibieron capacitacion y asistencia tecnica en temas asociativos solidarios </t>
  </si>
  <si>
    <t>En los programas desarollados en la Unidad Administrativa a corte 31 de Dic de 2016, en la región centro oriente, se crearon y fortelecieron un total de 31 organizaciones del sector solidario, de los cuales 1 organización fue en Bogota, 7 en Boyaca, 8 en Cundicamarca, 9 en Norte de Santander y 6 en Santander; generando un total de 846 personas beneficiadas en la región.</t>
  </si>
  <si>
    <t xml:space="preserve">En los programas desarollados en la Unidad Administrativa a corte 31 de Dic de 2016, en la región del Pacifico, se crearon y fortelecieron un total de 59 organizaciones del sector solidario, de los cuales 22 fueron del Cauca, 11 en Chocó, 21 en Nariño y 5 en el Valle del Cauca; generando un total de 1.183 personas beneficiadas en la región. 
Se promovió y dinamizó  cadenas y redes productivas en el  Departamento de Risaralda, dando así cumplimiento  en donde se logró la firma 24 acuerdos comerciales entre la oferta y la demanda de las siguientes cantidades mensuales: 
• Frutas, verduras, plátanos, panificados, pulpas naturales de frutas, avena instantánea: 33.433 Kilogramos.
• Unidades de huevos : 3.990 unidades; 
• Yogur: 750 litros; 
• Dotación (calzado y uniformes): 914 unidades.
</t>
  </si>
  <si>
    <t xml:space="preserve">Durante la vigencia 2017    en la región del Eje cafetero  se adelantaron 53 procesos de  crearon y fortalecimiento de organizacioe soldiarias que  beneficiaron a 2157 personas  así:
1,.) Antioquia:  12 organizacione ssolidarias, 509  personas beneficiadas 
2.) Caldas: 14 Organizacione ssolidarias ,  600 personas beneficiadas 
3.)  Quindío: 6 Organizaciones soldiarias,  376 personas beneficiadas 
4.)  Risaralda: 21 Organizacione ssoldiarias,  662 personas beneficiadas 
</t>
  </si>
  <si>
    <t xml:space="preserve">Para  la vigencia 2018   a través de procesos asociativos solidarios en la región del Eje cafetero  se proyecta fortalecer  32 organizaciones solidarias  así:
Antioquia: 14
Caldas: 4
 Quindío: 3
 Risaralda :11
</t>
  </si>
  <si>
    <t xml:space="preserve">Durante la vigencia 2017   en la region del  centro Oriente  se adelantaron 75 procesos de creción y fortalecimiento  beneficiando 3982 personas  asi:
Boyacá:15 Organizaciones Solidarias,   678 personas beneficiadas 
Cundinamarca: 35 Organizaciones Solidarias, 1886 personas beneficiadas 
 Norte de Santander:10 Organizaciones Solidarias,  618 personas beneficiadas 
Santander:15 Organizaciones Solidarias, 800 personas beneficiadas 
</t>
  </si>
  <si>
    <t xml:space="preserve">Para  la vigencia 2018   a través de procesos asociativos solidarios en la región del  Centro Oriente se proyecta fortalecer  33  organizaciones solidarias   así:
Boyacá: 14
Cundinamarca: 4
 Norte de Santander: 6
Santander: 9
</t>
  </si>
  <si>
    <t xml:space="preserve">Durante la vigencia 2017    en la region del  Pacifico se adelantaron 71 procesos de fomento y fortalecimiento  beneficiiando a  2074 personas  asi:
Cauca: 25 Organizaciones Solidarias, 958 personas beneficiadas 
Chocó: 3 Organizaciones Solidarias, 98 personas beneficiadas 
Nariño:21 Organizaciones Solidarias, 678 personas beneficiadas 
Valle del cauca: 22 Organizaciones Solidarias,340 personas beneficiadas 
</t>
  </si>
  <si>
    <t>Para  la vigencia 2018   a través de procesos asociativos solidarios en la región del  Pacifico  se proyectafortalecer  54  organizaciones solidarias   así::
Cauca: 14
Chocó: 8
Nariño: 18
Valle del cauca: 14</t>
  </si>
  <si>
    <t>Nombre del Proyecto</t>
  </si>
  <si>
    <t>DESARROLLO SOCIO-EMPRESARIAL DE LAS ORGANIZACIONES SOLIDARIAS EN COLOMBIA</t>
  </si>
  <si>
    <t>Código del Proyecto</t>
  </si>
  <si>
    <t>Objetivo General Proyecto</t>
  </si>
  <si>
    <t>Contribuir al desarrollo Socio empresarial de las Organizaciones Solidarias  en Colombia</t>
  </si>
  <si>
    <t xml:space="preserve">Objetivo específico </t>
  </si>
  <si>
    <t>Indicador de Producto</t>
  </si>
  <si>
    <t>Unidad de Medida</t>
  </si>
  <si>
    <t>Meta
2018</t>
  </si>
  <si>
    <t>Posicionar el Modelo de Economía solidaria, como alternativa de generación de ingresos.</t>
  </si>
  <si>
    <t>Jornadas de promoción</t>
  </si>
  <si>
    <t>Número</t>
  </si>
  <si>
    <t>TOTAL OBJETIVO 1</t>
  </si>
  <si>
    <t>Fortalecer organizaciones solidarias para su desarrollo socio-empresarial</t>
  </si>
  <si>
    <t>Diagnosticos de las organizaciones solidarias</t>
  </si>
  <si>
    <t>Emprendimientos solidarios</t>
  </si>
  <si>
    <t>TOTAL OBJETIVO 2</t>
  </si>
  <si>
    <t>Vincular organizaciones Solidarias a cadenas y redes productivas.</t>
  </si>
  <si>
    <t>Organizaciones Vinculadas a redes productiva</t>
  </si>
  <si>
    <t>TOTAL OBJETIVO 3</t>
  </si>
  <si>
    <t>TOTAL PROYECTO</t>
  </si>
  <si>
    <t>DESARROLLO DE EMPRENDIMIENTOS SOLIDARIOS A TRAVÉS DE NEGOCIOS INCLUSIVOS A NIVEL NACIONAL</t>
  </si>
  <si>
    <t>Crear y/o fortalecer emprendimientos y empresas asociativas solidarias mediante la estrategia de negocios inclusivos, para la generación de ingresos y  la superación de la pobreza de la población víctima del conflicto armado.</t>
  </si>
  <si>
    <t>Objetivo específico (1)</t>
  </si>
  <si>
    <t xml:space="preserve">Indicadores
 de Producto  </t>
  </si>
  <si>
    <t xml:space="preserve">Crear y/o fortalecer emprendimientos y empresas solidarias sostenibles </t>
  </si>
  <si>
    <t>Organizaciones Solidarias creadas</t>
  </si>
  <si>
    <t>Generar estrategias para la rápida generación de ingresos por la población víctima</t>
  </si>
  <si>
    <t>Alianzas Estratégicas generadas</t>
  </si>
  <si>
    <t>DISEÑO E IMPLEMENTACIÓN DE UN SISTEMA INTEGRAL DE GESTIÓN DOCUMENTAL PARA LA UNIDAD ADMINISTRATIVA ESPECIAL DE ORGANIZACIONES SOLIDARIAS</t>
  </si>
  <si>
    <t xml:space="preserve">  .2014011000105  </t>
  </si>
  <si>
    <t>Diseñar e implementar un sistema integral de gestión documental para la unidad administrativa especial de organizaciones solidarias.</t>
  </si>
  <si>
    <t>Objetivo específico</t>
  </si>
  <si>
    <t xml:space="preserve">Producto  </t>
  </si>
  <si>
    <t>Meta 
2018</t>
  </si>
  <si>
    <t>Plataforma Tecnológica Adquirida o actualizada</t>
  </si>
  <si>
    <t xml:space="preserve"> Número</t>
  </si>
  <si>
    <t>Información clasificada</t>
  </si>
  <si>
    <t>Metro lineal</t>
  </si>
  <si>
    <t>Expedientes Digitalizados o Microfilmados</t>
  </si>
  <si>
    <t>Metros</t>
  </si>
  <si>
    <t>Adecuar de manera eficiente los espacios para los archivos de gestión, el central e histórico, así como tambien la gestión automatizada de la información y documentación de La Unidad Administrativa Especial de Organizaciones Solidarias</t>
  </si>
  <si>
    <t>Mobiliriario</t>
  </si>
  <si>
    <t>FORTALECIMIENTO DE LA INFRAESTRUCTURA NECESARIA Y ADECUADA PARA EL FUNCIONAMIENTO DE LA ENTIDAD A NIVEL NACIONAL</t>
  </si>
  <si>
    <t>.2014011000060</t>
  </si>
  <si>
    <t>Contar con la infraestructura necesaria y adecuada para el funcionamiento de la Unidad Administrativa Especial de Organizaciones Solidarias</t>
  </si>
  <si>
    <t>Adelantar las acciones necesarias para la modernización, la adquisición y/o adecuación de infraestructura y mobiliario de la Unidad Administartiva Especial de Organizaciones Solidarias</t>
  </si>
  <si>
    <t>Infraestructura Construida o adecuada</t>
  </si>
  <si>
    <t>Porcentaje</t>
  </si>
  <si>
    <t>Mobiliario Adquiridos</t>
  </si>
  <si>
    <t xml:space="preserve">Dotar las sedes teritoriales con la infraestructura necesaria para su funcionamiento </t>
  </si>
  <si>
    <t>Divulgación para visibilización y posicionamiento del sector solidario y de la Unidad Administrativa Especial de Organizaciones Solidarias a nivel Nacional</t>
  </si>
  <si>
    <t>Mejorar los canales de divulgación y comunicación del sector solidario y de la Unidad Administrativa Especial de Organizaciones Solidarias</t>
  </si>
  <si>
    <t>Productos proyecto</t>
  </si>
  <si>
    <t>Cantidad / Meta</t>
  </si>
  <si>
    <t>Generar mecanismos  que fortalezca la difusión del mensaje asociativo solidario y la gestión misional de la Unidad Administrativa Especial de Organizaciones Solidarias</t>
  </si>
  <si>
    <t>Documentos metodológicos</t>
  </si>
  <si>
    <t>Servicios de asistencia técnica sobre el mensaje asociativo solidario</t>
  </si>
  <si>
    <t>Objetivo específico (2)</t>
  </si>
  <si>
    <t>Meta</t>
  </si>
  <si>
    <t>Generar alianzas interinstitucionales que faciliten el posicionamiento de la Entidad y el sector solidario</t>
  </si>
  <si>
    <t>Servicios de comunicación</t>
  </si>
  <si>
    <t>Servicios de  difusión sobre la cultura asociativa solidaria</t>
  </si>
  <si>
    <t>Total Proyecto</t>
  </si>
  <si>
    <t xml:space="preserve">Disponer de una plataforma tecnologica para la gestión documental de la entidad </t>
  </si>
  <si>
    <t xml:space="preserve">IMPLEMENTACIÓN Y MEJORAMIENTO DE TECNOLOGÍAS DE LA INFORMACIÓN Y LAS COMUNICACIONES PARA LA UNIDAD DE ORGANIZACIONES SOLIDARIAS </t>
  </si>
  <si>
    <t xml:space="preserve">Mejorar la infraestructura tecnológica de la Unidad Administrativa Especial Organizaciones Solidarias a nivel nacional
</t>
  </si>
  <si>
    <t xml:space="preserve">Optimizar los mecanismos de gestión de información de la Unidad Administrativa de Organizaciones Solidarias
</t>
  </si>
  <si>
    <t>Servicios de informacion para la gestión administrativa</t>
  </si>
  <si>
    <t>Numero</t>
  </si>
  <si>
    <t>.2016011000071</t>
  </si>
  <si>
    <t>Fortalecer los procesos de Educación Solidaria para el fomento de la asociatividad en Colombia</t>
  </si>
  <si>
    <t>Diseñar o ajustar programas de educación solidaria para el fomento de la asociatividad</t>
  </si>
  <si>
    <t>Programas</t>
  </si>
  <si>
    <t>Implementar programas de educación solidaria para el fomento de la asociatividad</t>
  </si>
  <si>
    <t>Proyectos de Implementación</t>
  </si>
  <si>
    <t xml:space="preserve"> Evaluar programas de educación solidaria para el fomento de la asociatividad</t>
  </si>
  <si>
    <t>Evaluaciones de Programas</t>
  </si>
  <si>
    <t xml:space="preserve"> .0086002080000</t>
  </si>
  <si>
    <t>Adelantar investigaciones y consolidar estadísticas relacionadas con el sector solidario  que permitan la formulación de políticas y programas para la promoción, planeación, protección fortalecimiento y desarrollo de sector solidario.</t>
  </si>
  <si>
    <t>Objetivo</t>
  </si>
  <si>
    <t>Unidad 
de Medida</t>
  </si>
  <si>
    <t>Promover y apoyar el desarrollo de investigaciones y estudios para la generación de nuevos conocimientos, la planificación, la toma de decisiones, la formulación de políticas públicas y el posicionamiento del sector solidario.</t>
  </si>
  <si>
    <t>Estudios e Investigaciones realizadas</t>
  </si>
  <si>
    <t xml:space="preserve">Generar estadísticas para el sector solidario mediante la articulación de los diferentes productores de información de acuerdo a su rol como nodos en el proceso. </t>
  </si>
  <si>
    <t xml:space="preserve">Reportes estadísticos elaborados </t>
  </si>
  <si>
    <t>TOTAL OBJETIVO  2</t>
  </si>
  <si>
    <t>ESTUDIOS INVESTIGACIONES Y CONSOLIDACIÓN DE ESTADÍSTICAS DEL SECTOR SOLIDARIO EN COLOMBIA</t>
  </si>
  <si>
    <t>DISEÑO DE PROGRAMAS DE EDUCACIÓN SOLIDARIA PARA EL FOMENTO DE LA ASOCIATIVIDAD EN COLOMBIA</t>
  </si>
  <si>
    <t xml:space="preserve"> DESARROLLO RURAL A TRAVÉS DE LA PROMOCIÓN DE LA CULTURA SOLIDARIA PARA EL MEJORAMIENTO DE VIDA NACIONAL</t>
  </si>
  <si>
    <t>.2015011000077</t>
  </si>
  <si>
    <t>Promover al interior de las familias productoras agropecuarias el conocimiento y adecuado uso del modelo asociativo y solidario</t>
  </si>
  <si>
    <t>Mejorar las condiciones de vida de las familias productoras agropecuarias, a partir del aprovechamiento del eje social de la organización asociativa, además de los derivados del eje económico y productivo</t>
  </si>
  <si>
    <t>Instrumento de Estadística social</t>
  </si>
  <si>
    <t>Formación de aliados estratégicos</t>
  </si>
  <si>
    <t>Consolidar la gestión y participación de los productores agropecuarios en sus organizaciones asociativas y solidarias, a partir de hábitos para el manejo de la economía de la familia productora agropecuaria</t>
  </si>
  <si>
    <t>Plan de acción y diagnóstico comunitario familiar</t>
  </si>
  <si>
    <t>Jornadas de intercambio de saberes</t>
  </si>
  <si>
    <t>Documento de sistematización</t>
  </si>
  <si>
    <t>Impulsar el uso adecuado del modelo asociativo solidario, por parte de los productores agropecuarios</t>
  </si>
  <si>
    <t>Capacitaciones</t>
  </si>
  <si>
    <t>Publicación</t>
  </si>
  <si>
    <t>unidad de medida</t>
  </si>
  <si>
    <t>numero</t>
  </si>
  <si>
    <t>AVANCE 2018</t>
  </si>
  <si>
    <t>No.</t>
  </si>
  <si>
    <t>POLÍTICAS DE DESARROLLO ADMINISTRATIVO</t>
  </si>
  <si>
    <t>INDICADOR</t>
  </si>
  <si>
    <t>FÓRMULA</t>
  </si>
  <si>
    <t>RESPONSABLES</t>
  </si>
  <si>
    <t xml:space="preserve">Metas </t>
  </si>
  <si>
    <t xml:space="preserve">Cumplimiento </t>
  </si>
  <si>
    <t>I
Trimestre</t>
  </si>
  <si>
    <t>II
Trimestre</t>
  </si>
  <si>
    <t>III
Trimestre</t>
  </si>
  <si>
    <t>IV
Trimestre</t>
  </si>
  <si>
    <t>GESTION MISIONAL Y DE GOBIERNO</t>
  </si>
  <si>
    <t>1.1  Fortalecer la cultura asociativa solidaria para su posicionamiento y contribución en los escenarios de paz, equidad y educación.</t>
  </si>
  <si>
    <t xml:space="preserve">1  lineamientos curriculares en educación solidaria actualizados </t>
  </si>
  <si>
    <t xml:space="preserve">
Programas de formación en modelos asociativos solidarios y en tematicas  que contribuyan a su desarrollo diseñados o actualizados
</t>
  </si>
  <si>
    <t xml:space="preserve">9  programas   diseñados o actualizados </t>
  </si>
  <si>
    <t>Dirección de Desarrollo</t>
  </si>
  <si>
    <t>5 programas de formación ofrecidos</t>
  </si>
  <si>
    <t>4 Estudios o investigaciones realizadas</t>
  </si>
  <si>
    <t>1.1.3  Desarrollar campañas de promoción del  modelo asociativo solidario.</t>
  </si>
  <si>
    <t xml:space="preserve">100 actividades de promoción del modelo asociativo solidario </t>
  </si>
  <si>
    <t>4 eventos realizados</t>
  </si>
  <si>
    <t>1.1.4 Difundir la cultura de la asociatividad solidaria, a través de medios de comunicación</t>
  </si>
  <si>
    <t>Comunicaciones y prensa</t>
  </si>
  <si>
    <t xml:space="preserve">1.1.5 Generar estrategias  de comunicación que permita visibilizar  el sector solidario </t>
  </si>
  <si>
    <t>1.1.6 Diseñar un programa de transversalización del sector solidario en la política económica y social del Estado</t>
  </si>
  <si>
    <t>1.2 Promover la asociatividad solidaria como estrategia de equidad que contribuye a:  generación de ingresos, trabajo decente, inclusión social, igualdad de oportunidades y construcción de tejido social, como fundamento de una Colombia en paz.</t>
  </si>
  <si>
    <t>1.2.1 Desarrollar una estrategia para promover el modelo asociativo solidario, como herramienta para la generación de ingresos.</t>
  </si>
  <si>
    <t>1.2.2 Fomentar o fortalecer organizaciones solidarias, en los sectores: agropecuario, cultura, turismo, minero, inclusión social y otros que se prioricen de acuerdo al PND.</t>
  </si>
  <si>
    <t xml:space="preserve">Número de personas  beneficiadas a través de procesos de promoción, fomento o fortalecimeinto en organizaciones en marcha. </t>
  </si>
  <si>
    <t>6.800 personas  beneficiadas</t>
  </si>
  <si>
    <t>1.2.3 Promover o dinamizar redes y cadenas productivas, como vehiculos para el desarrollo de las organizaciones solidarias.</t>
  </si>
  <si>
    <t>6 redes o cadenas promovidas o dinamizadas</t>
  </si>
  <si>
    <t>1.2.4 Articular esfuerzos con entes y actores nacionales o  territoriales  públicos o privados para la promoción de la asociatividad solidaria aprovechando la vocación productiva de las  regiones</t>
  </si>
  <si>
    <t>Alianzas Estratégicas establecidas</t>
  </si>
  <si>
    <t xml:space="preserve">50 alianzas  establecidas  </t>
  </si>
  <si>
    <t>1.3  Fortalecer la institucionalidad de la unidad administrativa especial de organizaciones solidarias de modo que contribuya al cumplimiento de las metas de buen gobierno definidas en el PND.</t>
  </si>
  <si>
    <t>1.3.1 Diseñar e implementar el modelo integrado de gestión y planeación 2015-2018</t>
  </si>
  <si>
    <t xml:space="preserve"> 100% de implementación del Modelo</t>
  </si>
  <si>
    <t>1.3.2 Fortalecer el plan estadístico institucional</t>
  </si>
  <si>
    <t xml:space="preserve">1.3.3 Revisar y analizar la normatividad existente para el sector y proponer los desarrollos o cambios que se encuentren pertinentes para beneficio y desarrollo del mismo. </t>
  </si>
  <si>
    <t>TRANSPARENCIA PARTICIPACION Y SERVICIO AL CIUDADANO</t>
  </si>
  <si>
    <t>2.1 Elaborar, implementar y evaluar anualmente el Plan Anticorrupción y de Atención al Ciudadano.</t>
  </si>
  <si>
    <t>2.1.1  Diseñar, implementar y hacer seguimineto al Plan  Anticorrupción y de atención al ciudadano.</t>
  </si>
  <si>
    <t>Porcentaje de implementación del plan Anticorrupción y de atención al ciudadano.</t>
  </si>
  <si>
    <t>% de implementación del plan Anticorrupción y de atención al ciudadano.</t>
  </si>
  <si>
    <t>GESTION DEL TALENTO HUMANO</t>
  </si>
  <si>
    <t>3.1. Elaborar e implementar el plan estratégico derecursos humanos contodos los planes específicos y herramientas que lo componen.</t>
  </si>
  <si>
    <t>3.1.1 Actualizar y reportar el Plan Anual de Vacantes al Departamento Administrativo de la Función Pública de conformidad con  lo establecido en la Ley 909 de 2004.</t>
  </si>
  <si>
    <t>Un (1) del Plan Anual de Vacantes actualizado</t>
  </si>
  <si>
    <t>(Número de planes de vacantes actualizados /Número de planes programados)*100</t>
  </si>
  <si>
    <t>3.2.2  Realizar seguímiento y verificación al cargue de documentación de los servidores públicos de la Unidad en el SIGEP.</t>
  </si>
  <si>
    <t>100% de documentación cargada en el SIGEP</t>
  </si>
  <si>
    <t xml:space="preserve">Numero de servidores públicos  con información actualizada en el SIGEP /No. De servidores publicos vinculados a la entidad </t>
  </si>
  <si>
    <t>3.2.3  Formular  e implementar el Plan Institucional de Capacitación - PIC  de cada vigencia.</t>
  </si>
  <si>
    <t>Un (1) Plan Insititucional de Capacitación formulado e implementado.</t>
  </si>
  <si>
    <t xml:space="preserve">% de implemetancion del plan de capacitación </t>
  </si>
  <si>
    <t>3.2.4  Formular  el Programa de Bienestar Social e Incentivos de cada vigencia</t>
  </si>
  <si>
    <t>Un (1) Programa de Bienestar e Incentivos formulado e implementado.</t>
  </si>
  <si>
    <t>% de implemetancion del plan de  Bienestar Social e Incentivos</t>
  </si>
  <si>
    <t>3.2.5   Formular e Implementar el Sistema de Gestión  de Seguridad y Salud en el Trabajo</t>
  </si>
  <si>
    <t xml:space="preserve">1 Sistema de Gestión de Seguridad y Salud en el Trabajo formulado e implemetado </t>
  </si>
  <si>
    <t xml:space="preserve">% de implemetancion  el sistema de  Seguridad y Salud en el Trabajo formulado e implemetado </t>
  </si>
  <si>
    <t>GESTIÓN ADMINISTRATIVA</t>
  </si>
  <si>
    <t>4.1. Adelantar actividades tendientes a la maduración del Sistema IntegradodeGestión d eOrganizaciones Solidarias y obtener las certificaciones de calidad requeridas.</t>
  </si>
  <si>
    <t>4.1.1  Actualizar y hacer seguimiento al plan de maduración  del Sistema Integrado de Gestión -SIGOS-</t>
  </si>
  <si>
    <t>100%  de cumplimiento  del plan de  maduración del Sistema Integrado de Gestión -SIGOS-</t>
  </si>
  <si>
    <t>% de cumplimiento  del plan de  maduración del Sistema Integrado de Gestión -SIGOS</t>
  </si>
  <si>
    <t>4.2.  Elaborar e implementar el programa de gestión documental de la Entidad</t>
  </si>
  <si>
    <t>4.2.1 Intervenir el fondo documental acumulado  de acuerdo con la normativa y con los criterios archivísticos establecidos por el AGN y Realizar transferencioa documental a la Superintendencia de la Economía Solidaria frente a las series  relacionadas con inspección, control y vigilancia.</t>
  </si>
  <si>
    <t>Número de metros lineales intervenidos</t>
  </si>
  <si>
    <t>Sumatoria de metros lineales de archivo intervenidos</t>
  </si>
  <si>
    <t>Número de metros lineales transferidos</t>
  </si>
  <si>
    <t>Sumatoria de metros lineales de archivo transferidos</t>
  </si>
  <si>
    <t>4..2.2 Elaborar, socializar y publicar el Programa de Gestión Documental de UAEOS conforme al decreto 2609/12</t>
  </si>
  <si>
    <t>Porcentaje de implementación del programa de gestión documental</t>
  </si>
  <si>
    <t>Sumatoria de los avances ponderados de las actividades del plan</t>
  </si>
  <si>
    <t xml:space="preserve">4.2.3 Elaborar e implementar el plan  de cero papel </t>
  </si>
  <si>
    <t>Porcentaje de reducción en el consumo de papel en la entidad</t>
  </si>
  <si>
    <t>Consumo de papel actual vigencia / Consumo de papel vigencia anterior</t>
  </si>
  <si>
    <t>4.2.4 Implementar un aplicativo de gestión documental</t>
  </si>
  <si>
    <t>Porcentaje de funcionarios que estan configurados como usuarios del aplicativo.</t>
  </si>
  <si>
    <t>Número de funcionarios que tienene cuenta de usuario en el aplicativo en funcionamiento / Total de funcionarios de la entidad*100</t>
  </si>
  <si>
    <t>4.3 Administrar los riesgos asociados a la gestión de la Entidad.</t>
  </si>
  <si>
    <t>4.3.1 Elaborar   y hacer seguimiento al mapa de riesgos de acuerdo a las politica de  administración de riesgos  adoptada por la Unidad a anualmente las herramientas para la administración de los riesgos de gestión.</t>
  </si>
  <si>
    <t xml:space="preserve">2 reportes de seguimiento adelantados por vigencia </t>
  </si>
  <si>
    <t>Número de reportes  de seguimientos adelantados por vigencia /meta programada *100</t>
  </si>
  <si>
    <t>4.4 .Implementar la estrategia de gobierno en línea de acuerdo a los requisitos técnicos.</t>
  </si>
  <si>
    <t>4.4.1  Implementar los criterios de gobierno en linea conforme al manual  de acuerdo a la metas fijadas para entidades nacionales.</t>
  </si>
  <si>
    <t>Porcentaje de implmentación de los requisitos del manual de gobierno en línea</t>
  </si>
  <si>
    <t>Sumatoria de avance ponderado de los criterios de gobierno en linea</t>
  </si>
  <si>
    <t>Tecnología de la Informacón</t>
  </si>
  <si>
    <t>GESTION FINANCIERA</t>
  </si>
  <si>
    <t>5.1 Programar y ejecutar el presupuesto de funcionamiento e inversiónen cumplimiento de la normatividad vigente.</t>
  </si>
  <si>
    <t>5.1.1   Ejecutar el presupuesto de inversión de acuerdo con las metas programadas para la vigencia.</t>
  </si>
  <si>
    <t>Porcentaje de ejecución del presupuesto de inversión</t>
  </si>
  <si>
    <t>Obligaciones / Presupuesto Inversion</t>
  </si>
  <si>
    <t>5.2.2  Ejecutar el presupuesto de funcionamiento de acuerdo con las metas programadas para la vigencia.</t>
  </si>
  <si>
    <t>Porcentaje de ejecución del presupuesto de funcionamiento</t>
  </si>
  <si>
    <t>Obligaciones / Presupuesto Funcionamiento</t>
  </si>
  <si>
    <t xml:space="preserve"> 5.2 Programar y ejecutar el Plan Anual Mensualizado de Caja en cumplimiento de la normatividad vigente.</t>
  </si>
  <si>
    <t>5.2.1 Pagar oportunamente las obligaciones con disponibilidad recursos y soportes completos</t>
  </si>
  <si>
    <t>Porcentaje de obligaciones pagadas oportunamente</t>
  </si>
  <si>
    <t>No. De cuentas pagadas oportunamente/Número de cuentas radicadas con soportes completos.</t>
  </si>
  <si>
    <t>5.3 Programar y ejecutar el Plan de Compras en cumplimiento de la normatividad vigente.</t>
  </si>
  <si>
    <t>5.3.1  Formular e implementar  el Plan de Compras de la Unidad Administrativa Especial de Organizaciones Solidarias</t>
  </si>
  <si>
    <t>Porcentaje de implementación del plan</t>
  </si>
  <si>
    <t>Avance cuatrenio</t>
  </si>
  <si>
    <t>estrategia</t>
  </si>
  <si>
    <t>avance plan anticorrupcion</t>
  </si>
  <si>
    <t xml:space="preserve"> numero de metros lineales organizados</t>
  </si>
  <si>
    <t>numero de metros lineales digitalizados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</si>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</sst>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00_);_(&quot;$&quot;\ * \(#,##0.00\);_(&quot;$&quot;\ * &quot;-&quot;??_);_(@_)"/>
    <numFmt numFmtId="165" formatCode="_(* #,##0.00_);_(* \(#,##0.00\);_(* &quot;-&quot;??_);_(@_)"/>
    <numFmt numFmtId="166" formatCode="0.0%"/>
    <numFmt numFmtId="167" formatCode="0.0"/>
    <numFmt numFmtId="168" formatCode="[$-10C0A]#,##0.00"/>
    <numFmt numFmtId="169" formatCode="[$-10C0A]#,##0"/>
    <numFmt numFmtId="170" formatCode="#,##0.00;[Red]#,##0.00"/>
    <numFmt numFmtId="171" formatCode="0.00;[Red]0.00"/>
    <numFmt numFmtId="172" formatCode="[$-10C0A]yyyy/mm/dd"/>
    <numFmt numFmtId="173" formatCode="_(* #,##0_);_(* \(#,##0\);_(* &quot;-&quot;??_);_(@_)"/>
    <numFmt numFmtId="174" formatCode="0;[Red]0"/>
    <numFmt numFmtId="175" formatCode="_-&quot;$&quot;* #,##0_-;\-&quot;$&quot;* #,##0_-;_-&quot;$&quot;* &quot;-&quot;_-;_-@_-"/>
    <numFmt numFmtId="176" formatCode="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1"/>
      <color indexed="8"/>
      <name val="Calibri"/>
      <family val="2"/>
    </font>
    <font>
      <b/>
      <sz val="10"/>
      <color indexed="8"/>
      <name val="Arial Narrow"/>
      <family val="2"/>
    </font>
    <font>
      <sz val="8"/>
      <color indexed="8"/>
      <name val="Arial Narrow"/>
      <family val="2"/>
    </font>
    <font>
      <sz val="7"/>
      <color indexed="8"/>
      <name val="Arial Narrow"/>
      <family val="2"/>
    </font>
    <font>
      <sz val="11"/>
      <name val="Arial"/>
      <family val="2"/>
    </font>
    <font>
      <b/>
      <sz val="11"/>
      <name val="Arial"/>
      <family val="2"/>
    </font>
    <font>
      <b/>
      <sz val="10"/>
      <name val="Arial"/>
      <family val="2"/>
    </font>
    <font>
      <b/>
      <sz val="11"/>
      <color indexed="8"/>
      <name val="Arial Narrow"/>
      <family val="2"/>
    </font>
    <font>
      <sz val="11"/>
      <color indexed="8"/>
      <name val="Arial Narrow"/>
      <family val="2"/>
    </font>
    <font>
      <b/>
      <sz val="11"/>
      <name val="Arial Narrow"/>
      <family val="2"/>
    </font>
    <font>
      <sz val="11"/>
      <name val="Arial Narrow"/>
      <family val="2"/>
    </font>
    <font>
      <sz val="11"/>
      <color indexed="8"/>
      <name val="Arial"/>
      <family val="2"/>
    </font>
    <font>
      <sz val="11"/>
      <color rgb="FF000000"/>
      <name val="Arial"/>
      <family val="2"/>
    </font>
    <font>
      <sz val="11"/>
      <color rgb="FFFF0000"/>
      <name val="Arial"/>
      <family val="2"/>
    </font>
    <font>
      <b/>
      <sz val="9"/>
      <color indexed="81"/>
      <name val="Tahoma"/>
      <family val="2"/>
    </font>
    <font>
      <sz val="9"/>
      <color indexed="81"/>
      <name val="Tahoma"/>
      <family val="2"/>
    </font>
    <font>
      <sz val="10"/>
      <name val="Arial"/>
      <family val="2"/>
    </font>
    <font>
      <sz val="10"/>
      <color indexed="8"/>
      <name val="Arial Narrow"/>
      <family val="2"/>
    </font>
    <font>
      <b/>
      <sz val="8"/>
      <name val="Arial"/>
      <family val="2"/>
    </font>
    <font>
      <sz val="10"/>
      <color indexed="8"/>
      <name val="Arial"/>
      <family val="2"/>
    </font>
    <font>
      <b/>
      <sz val="10"/>
      <color indexed="8"/>
      <name val="Arial"/>
      <family val="2"/>
    </font>
    <font>
      <sz val="11"/>
      <color theme="1"/>
      <name val="Arial"/>
      <family val="2"/>
    </font>
    <font>
      <strike/>
      <sz val="11"/>
      <name val="Arial"/>
      <family val="2"/>
    </font>
    <font>
      <b/>
      <sz val="10"/>
      <color theme="0"/>
      <name val="Arial Narrow"/>
      <family val="2"/>
    </font>
    <font>
      <sz val="10"/>
      <color theme="1"/>
      <name val="Arial Narrow"/>
      <family val="2"/>
    </font>
    <font>
      <sz val="10"/>
      <name val="Arial Narrow"/>
      <family val="2"/>
    </font>
    <font>
      <b/>
      <sz val="11"/>
      <name val="Calibri"/>
      <family val="2"/>
    </font>
    <font>
      <b/>
      <sz val="10"/>
      <name val="Arial Narrow"/>
      <family val="2"/>
    </font>
    <font>
      <sz val="12"/>
      <color theme="1"/>
      <name val="Arial"/>
      <family val="2"/>
    </font>
    <font>
      <b/>
      <sz val="11"/>
      <color indexed="9"/>
      <name val="Arial"/>
      <family val="2"/>
    </font>
    <font>
      <sz val="9"/>
      <name val="Arial"/>
      <family val="2"/>
    </font>
    <font>
      <sz val="11"/>
      <color indexed="8"/>
      <name val="Calibri"/>
      <family val="2"/>
    </font>
    <font>
      <sz val="11"/>
      <color rgb="FFFF0000"/>
      <name val="Calibri"/>
      <family val="2"/>
      <scheme val="minor"/>
    </font>
    <font>
      <b/>
      <sz val="11"/>
      <color theme="1"/>
      <name val="Calibri"/>
      <family val="2"/>
      <scheme val="minor"/>
    </font>
    <font>
      <sz val="10"/>
      <color theme="3" tint="0.39997558519241921"/>
      <name val="Arial"/>
      <family val="2"/>
    </font>
    <font>
      <sz val="10"/>
      <color theme="1"/>
      <name val="Arial"/>
      <family val="2"/>
    </font>
    <font>
      <sz val="12"/>
      <color theme="0"/>
      <name val="Arial"/>
      <family val="2"/>
    </font>
    <font>
      <sz val="10"/>
      <name val="Verdana"/>
      <family val="2"/>
    </font>
    <font>
      <sz val="12"/>
      <name val="Calibri"/>
      <family val="2"/>
      <scheme val="minor"/>
    </font>
    <font>
      <b/>
      <sz val="12"/>
      <name val="Arial Narrow"/>
      <family val="2"/>
    </font>
    <font>
      <b/>
      <sz val="12"/>
      <color theme="1"/>
      <name val="Arial Narrow"/>
      <family val="2"/>
    </font>
    <font>
      <sz val="12"/>
      <color theme="0"/>
      <name val="Calibri"/>
      <family val="2"/>
      <scheme val="minor"/>
    </font>
    <font>
      <b/>
      <sz val="11"/>
      <color theme="1"/>
      <name val="Arial Narrow"/>
      <family val="2"/>
    </font>
    <font>
      <sz val="11"/>
      <color theme="1"/>
      <name val="Arial Narrow"/>
      <family val="2"/>
    </font>
    <font>
      <sz val="11"/>
      <name val="Calibri"/>
      <family val="2"/>
      <scheme val="minor"/>
    </font>
    <font>
      <sz val="11"/>
      <color rgb="FFFF0000"/>
      <name val="Arial Narrow"/>
      <family val="2"/>
    </font>
    <font>
      <sz val="12"/>
      <name val="Arial Narrow"/>
      <family val="2"/>
    </font>
    <font>
      <b/>
      <sz val="14"/>
      <name val="Calibri"/>
      <family val="2"/>
      <scheme val="minor"/>
    </font>
    <font>
      <sz val="12"/>
      <color rgb="FFFF0000"/>
      <name val="Calibri"/>
      <family val="2"/>
      <scheme val="minor"/>
    </font>
    <font>
      <sz val="11"/>
      <color rgb="FF000000"/>
      <name val="Calibri"/>
      <family val="2"/>
    </font>
    <font>
      <b/>
      <sz val="14"/>
      <color rgb="FF000000"/>
      <name val="Calibri"/>
      <family val="2"/>
    </font>
    <font>
      <sz val="11"/>
      <name val="Calibri"/>
      <family val="2"/>
    </font>
    <font>
      <u/>
      <sz val="10"/>
      <color indexed="12"/>
      <name val="Arial"/>
      <family val="2"/>
    </font>
    <font>
      <b/>
      <u/>
      <sz val="12"/>
      <color theme="0"/>
      <name val="Arial"/>
      <family val="2"/>
    </font>
    <font>
      <b/>
      <sz val="14"/>
      <color theme="0"/>
      <name val="Calibri"/>
      <family val="2"/>
    </font>
    <font>
      <b/>
      <sz val="11"/>
      <color theme="0"/>
      <name val="Calibri"/>
      <family val="2"/>
    </font>
    <font>
      <sz val="11"/>
      <color theme="0"/>
      <name val="Calibri"/>
      <family val="2"/>
    </font>
    <font>
      <b/>
      <sz val="11"/>
      <name val="Calibri"/>
      <family val="2"/>
      <scheme val="minor"/>
    </font>
    <font>
      <b/>
      <sz val="11"/>
      <color rgb="FF000000"/>
      <name val="Calibri"/>
      <family val="2"/>
    </font>
    <font>
      <sz val="8"/>
      <name val="Calibri"/>
      <family val="2"/>
      <scheme val="minor"/>
    </font>
    <font>
      <sz val="12"/>
      <color theme="1"/>
      <name val="Arial Narrow"/>
      <family val="2"/>
    </font>
    <font>
      <b/>
      <sz val="10"/>
      <color theme="1"/>
      <name val="Arial Narrow"/>
      <family val="2"/>
    </font>
    <font>
      <b/>
      <sz val="11"/>
      <color theme="0"/>
      <name val="Calibri"/>
      <family val="2"/>
      <scheme val="minor"/>
    </font>
    <font>
      <sz val="10"/>
      <color rgb="FFFF0000"/>
      <name val="Arial"/>
      <family val="2"/>
    </font>
    <font>
      <sz val="11"/>
      <color rgb="FF000000"/>
      <name val="Calibri"/>
      <family val="2"/>
      <scheme val="minor"/>
    </font>
    <font>
      <b/>
      <sz val="10"/>
      <color rgb="FF000000"/>
      <name val="Arial"/>
      <family val="2"/>
    </font>
    <font>
      <b/>
      <sz val="8"/>
      <color rgb="FFFFFFFF"/>
      <name val="Arial"/>
      <family val="2"/>
    </font>
    <font>
      <sz val="8"/>
      <name val="Arial"/>
      <family val="2"/>
    </font>
    <font>
      <b/>
      <sz val="8"/>
      <color theme="0"/>
      <name val="Arial"/>
      <family val="2"/>
    </font>
    <font>
      <sz val="8"/>
      <color rgb="FF000000"/>
      <name val="Arial"/>
      <family val="2"/>
    </font>
    <font>
      <sz val="8"/>
      <color theme="0"/>
      <name val="Arial"/>
      <family val="2"/>
    </font>
    <font>
      <sz val="8"/>
      <color rgb="FFFF0000"/>
      <name val="Arial"/>
      <family val="2"/>
    </font>
    <font>
      <b/>
      <sz val="8"/>
      <color theme="0"/>
      <name val="Calibri"/>
      <family val="2"/>
      <scheme val="minor"/>
    </font>
    <font>
      <b/>
      <sz val="8"/>
      <name val="Calibri"/>
      <family val="2"/>
      <scheme val="minor"/>
    </font>
    <font>
      <b/>
      <sz val="8"/>
      <color theme="1"/>
      <name val="Arial"/>
      <family val="2"/>
    </font>
    <font>
      <sz val="8"/>
      <color rgb="FF000000"/>
      <name val="Calibri"/>
      <family val="2"/>
      <scheme val="minor"/>
    </font>
    <font>
      <sz val="8"/>
      <color theme="1"/>
      <name val="Calibri"/>
      <family val="2"/>
      <scheme val="minor"/>
    </font>
    <font>
      <sz val="8"/>
      <color rgb="FFFF0000"/>
      <name val="Calibri"/>
      <family val="2"/>
      <scheme val="minor"/>
    </font>
    <font>
      <b/>
      <sz val="12"/>
      <color theme="0"/>
      <name val="Arial Narrow"/>
      <family val="2"/>
    </font>
    <font>
      <b/>
      <sz val="10"/>
      <color indexed="9"/>
      <name val="Arial"/>
      <family val="2"/>
    </font>
    <font>
      <sz val="9"/>
      <name val="Arial Narrow"/>
      <family val="2"/>
    </font>
    <font>
      <sz val="10"/>
      <color rgb="FFFF0000"/>
      <name val="Arial Narrow"/>
      <family val="2"/>
    </font>
    <font>
      <sz val="11"/>
      <color rgb="FFFF0000"/>
      <name val="Arial Narrow"/>
      <family val="2"/>
    </font>
    <font>
      <sz val="11"/>
      <color theme="1"/>
      <name val="Arial Narrow"/>
      <family val="2"/>
    </font>
    <fon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249977111117893"/>
        <bgColor indexed="64"/>
      </patternFill>
    </fill>
    <fill>
      <gradientFill>
        <stop position="0">
          <color theme="0"/>
        </stop>
        <stop position="1">
          <color rgb="FFFF0000"/>
        </stop>
      </gradientFill>
    </fill>
    <fill>
      <patternFill patternType="solid">
        <fgColor theme="1" tint="0.49998474074526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CFFCC"/>
        <bgColor indexed="64"/>
      </patternFill>
    </fill>
    <fill>
      <patternFill patternType="solid">
        <fgColor rgb="FFC00000"/>
        <bgColor indexed="64"/>
      </patternFill>
    </fill>
    <fill>
      <patternFill patternType="solid">
        <fgColor theme="3" tint="0.79998168889431442"/>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9"/>
        <bgColor rgb="FFD8D8D8"/>
      </patternFill>
    </fill>
    <fill>
      <patternFill patternType="solid">
        <fgColor indexed="9"/>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249977111117893"/>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3"/>
        <bgColor indexed="64"/>
      </patternFill>
    </fill>
    <fill>
      <patternFill patternType="solid">
        <fgColor theme="8"/>
        <bgColor indexed="64"/>
      </patternFill>
    </fill>
    <fill>
      <patternFill patternType="solid">
        <fgColor theme="0" tint="-0.34998626667073579"/>
        <bgColor indexed="64"/>
      </patternFill>
    </fill>
    <fill>
      <patternFill patternType="solid">
        <fgColor theme="4" tint="0.79998168889431442"/>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diagonal/>
    </border>
  </borders>
  <cellStyleXfs count="27">
    <xf numFmtId="0" fontId="0" fillId="0" borderId="0"/>
    <xf numFmtId="9" fontId="7" fillId="0" borderId="0" applyFont="0" applyFill="0" applyBorder="0" applyAlignment="0" applyProtection="0"/>
    <xf numFmtId="0" fontId="6" fillId="2" borderId="0" applyNumberFormat="0" applyBorder="0" applyAlignment="0" applyProtection="0"/>
    <xf numFmtId="0" fontId="7" fillId="0" borderId="0"/>
    <xf numFmtId="0" fontId="7" fillId="0" borderId="0"/>
    <xf numFmtId="164" fontId="24" fillId="0" borderId="0" applyFont="0" applyFill="0" applyBorder="0" applyAlignment="0" applyProtection="0"/>
    <xf numFmtId="9" fontId="7" fillId="0" borderId="0" applyFont="0" applyFill="0" applyBorder="0" applyAlignment="0" applyProtection="0"/>
    <xf numFmtId="0" fontId="5" fillId="0" borderId="0"/>
    <xf numFmtId="0" fontId="4" fillId="0" borderId="0"/>
    <xf numFmtId="9" fontId="39" fillId="0" borderId="0" applyFont="0" applyFill="0" applyBorder="0" applyAlignment="0" applyProtection="0"/>
    <xf numFmtId="0" fontId="45" fillId="0" borderId="0"/>
    <xf numFmtId="0" fontId="45" fillId="0" borderId="0"/>
    <xf numFmtId="9" fontId="3" fillId="0" borderId="0" applyFont="0" applyFill="0" applyBorder="0" applyAlignment="0" applyProtection="0"/>
    <xf numFmtId="0" fontId="3" fillId="0" borderId="0"/>
    <xf numFmtId="9" fontId="45" fillId="0" borderId="0" applyFont="0" applyFill="0" applyBorder="0" applyAlignment="0" applyProtection="0"/>
    <xf numFmtId="165" fontId="3" fillId="0" borderId="0" applyFont="0" applyFill="0" applyBorder="0" applyAlignment="0" applyProtection="0"/>
    <xf numFmtId="0" fontId="57" fillId="0" borderId="0"/>
    <xf numFmtId="0" fontId="60" fillId="0" borderId="0" applyNumberFormat="0" applyFill="0" applyBorder="0" applyAlignment="0" applyProtection="0">
      <alignment vertical="top"/>
      <protection locked="0"/>
    </xf>
    <xf numFmtId="0" fontId="3"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75" fontId="2"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1809">
    <xf numFmtId="0" fontId="0" fillId="0" borderId="0" xfId="0"/>
    <xf numFmtId="0" fontId="0" fillId="3" borderId="0" xfId="0" applyFill="1"/>
    <xf numFmtId="9" fontId="0" fillId="3" borderId="0" xfId="1" applyNumberFormat="1" applyFont="1" applyFill="1" applyAlignment="1">
      <alignment horizontal="center" vertical="center"/>
    </xf>
    <xf numFmtId="0" fontId="8" fillId="3" borderId="0" xfId="0" applyFont="1" applyFill="1" applyBorder="1" applyAlignment="1">
      <alignment vertical="center" wrapText="1"/>
    </xf>
    <xf numFmtId="9" fontId="12" fillId="3" borderId="13" xfId="2" applyNumberFormat="1" applyFont="1" applyFill="1" applyBorder="1" applyAlignment="1">
      <alignment horizontal="center" vertical="center" wrapText="1"/>
    </xf>
    <xf numFmtId="9" fontId="12" fillId="3" borderId="15" xfId="2" applyNumberFormat="1" applyFont="1" applyFill="1" applyBorder="1" applyAlignment="1">
      <alignment horizontal="justify" vertical="center" wrapText="1"/>
    </xf>
    <xf numFmtId="9" fontId="12" fillId="3" borderId="16" xfId="2" applyNumberFormat="1" applyFont="1" applyFill="1" applyBorder="1" applyAlignment="1">
      <alignment horizontal="center" vertical="center" wrapText="1"/>
    </xf>
    <xf numFmtId="9" fontId="12" fillId="3" borderId="15" xfId="0" applyNumberFormat="1" applyFont="1" applyFill="1" applyBorder="1" applyAlignment="1">
      <alignment horizontal="left" vertical="center" wrapText="1"/>
    </xf>
    <xf numFmtId="0" fontId="12" fillId="3" borderId="15" xfId="0" applyFont="1" applyFill="1" applyBorder="1" applyAlignment="1">
      <alignment vertical="center" wrapText="1"/>
    </xf>
    <xf numFmtId="0" fontId="12" fillId="3" borderId="15" xfId="0" applyFont="1" applyFill="1" applyBorder="1" applyAlignment="1">
      <alignment horizontal="justify" vertical="center" wrapText="1"/>
    </xf>
    <xf numFmtId="9" fontId="12" fillId="3" borderId="21" xfId="0" applyNumberFormat="1" applyFont="1" applyFill="1" applyBorder="1" applyAlignment="1">
      <alignment horizontal="center" vertical="center" wrapText="1"/>
    </xf>
    <xf numFmtId="0" fontId="12" fillId="3" borderId="15" xfId="2" applyFont="1" applyFill="1" applyBorder="1" applyAlignment="1">
      <alignment horizontal="justify" vertical="center" wrapText="1"/>
    </xf>
    <xf numFmtId="9" fontId="12" fillId="3" borderId="15" xfId="0" applyNumberFormat="1" applyFont="1" applyFill="1" applyBorder="1" applyAlignment="1">
      <alignment horizontal="center" vertical="center" wrapText="1"/>
    </xf>
    <xf numFmtId="0" fontId="12" fillId="3" borderId="20" xfId="2" applyFont="1" applyFill="1" applyBorder="1" applyAlignment="1">
      <alignment horizontal="justify" vertical="center" wrapText="1"/>
    </xf>
    <xf numFmtId="9" fontId="12" fillId="3" borderId="20" xfId="0" applyNumberFormat="1" applyFont="1" applyFill="1" applyBorder="1" applyAlignment="1">
      <alignment horizontal="center" vertical="center" wrapText="1"/>
    </xf>
    <xf numFmtId="0" fontId="12" fillId="3" borderId="20" xfId="0" applyFont="1" applyFill="1" applyBorder="1" applyAlignment="1">
      <alignment horizontal="justify" vertical="center" wrapText="1"/>
    </xf>
    <xf numFmtId="9" fontId="12" fillId="3" borderId="25" xfId="0"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3" borderId="42" xfId="0" applyFill="1" applyBorder="1" applyAlignment="1">
      <alignment horizontal="center" vertical="center"/>
    </xf>
    <xf numFmtId="9" fontId="0" fillId="5" borderId="15" xfId="1" applyFont="1" applyFill="1" applyBorder="1" applyAlignment="1">
      <alignment horizontal="center" vertical="center"/>
    </xf>
    <xf numFmtId="9" fontId="0" fillId="3" borderId="15" xfId="0" applyNumberFormat="1" applyFill="1" applyBorder="1" applyAlignment="1">
      <alignment horizontal="center" vertical="center"/>
    </xf>
    <xf numFmtId="9" fontId="0" fillId="3" borderId="13" xfId="0" applyNumberFormat="1" applyFill="1" applyBorder="1" applyAlignment="1">
      <alignment horizontal="center" vertical="center"/>
    </xf>
    <xf numFmtId="0" fontId="7" fillId="3" borderId="15" xfId="4" applyFont="1" applyFill="1" applyBorder="1" applyAlignment="1">
      <alignment horizontal="justify" vertical="center" wrapText="1"/>
    </xf>
    <xf numFmtId="166" fontId="14" fillId="3" borderId="15" xfId="4" applyNumberFormat="1" applyFont="1" applyFill="1" applyBorder="1" applyAlignment="1">
      <alignment horizontal="center" vertical="center"/>
    </xf>
    <xf numFmtId="0" fontId="7" fillId="3" borderId="0" xfId="4" applyFill="1"/>
    <xf numFmtId="0" fontId="8" fillId="3" borderId="0" xfId="4" applyFont="1" applyFill="1" applyBorder="1" applyAlignment="1">
      <alignment vertical="center" wrapText="1"/>
    </xf>
    <xf numFmtId="9" fontId="7" fillId="3" borderId="15" xfId="2" applyNumberFormat="1" applyFont="1" applyFill="1" applyBorder="1" applyAlignment="1">
      <alignment horizontal="justify" vertical="center" wrapText="1"/>
    </xf>
    <xf numFmtId="0" fontId="7" fillId="3" borderId="15" xfId="4" applyFont="1" applyFill="1" applyBorder="1" applyAlignment="1">
      <alignment vertical="center" wrapText="1"/>
    </xf>
    <xf numFmtId="9" fontId="7" fillId="3" borderId="15" xfId="4" applyNumberFormat="1" applyFont="1" applyFill="1" applyBorder="1" applyAlignment="1">
      <alignment horizontal="center" vertical="center" wrapText="1"/>
    </xf>
    <xf numFmtId="0" fontId="7" fillId="3" borderId="15" xfId="2" applyFont="1" applyFill="1" applyBorder="1" applyAlignment="1">
      <alignment horizontal="justify" vertical="center" wrapText="1"/>
    </xf>
    <xf numFmtId="0" fontId="7" fillId="3" borderId="15" xfId="4" applyFont="1" applyFill="1" applyBorder="1" applyAlignment="1">
      <alignment horizontal="left" vertical="center" wrapText="1"/>
    </xf>
    <xf numFmtId="0" fontId="13" fillId="0" borderId="15" xfId="4" applyFont="1" applyFill="1" applyBorder="1" applyAlignment="1">
      <alignment horizontal="center" vertical="center" wrapText="1"/>
    </xf>
    <xf numFmtId="0" fontId="7" fillId="3" borderId="15" xfId="2" applyFont="1" applyFill="1" applyBorder="1" applyAlignment="1">
      <alignment horizontal="left" vertical="center" wrapText="1"/>
    </xf>
    <xf numFmtId="9" fontId="7" fillId="3" borderId="15" xfId="4" applyNumberFormat="1" applyFont="1" applyFill="1" applyBorder="1" applyAlignment="1">
      <alignment horizontal="left" vertical="center" wrapText="1"/>
    </xf>
    <xf numFmtId="0" fontId="7" fillId="3" borderId="27" xfId="4" applyFont="1" applyFill="1" applyBorder="1" applyAlignment="1">
      <alignment horizontal="left" vertical="center" wrapText="1"/>
    </xf>
    <xf numFmtId="9" fontId="7" fillId="3" borderId="27" xfId="4" applyNumberFormat="1" applyFont="1" applyFill="1" applyBorder="1" applyAlignment="1">
      <alignment horizontal="center" vertical="center" wrapText="1"/>
    </xf>
    <xf numFmtId="0" fontId="7" fillId="3" borderId="27" xfId="2" applyFont="1" applyFill="1" applyBorder="1" applyAlignment="1">
      <alignment horizontal="left" vertical="center" wrapText="1"/>
    </xf>
    <xf numFmtId="0" fontId="7" fillId="3" borderId="27" xfId="4" applyFont="1" applyFill="1" applyBorder="1" applyAlignment="1">
      <alignment horizontal="justify" vertical="center" wrapText="1"/>
    </xf>
    <xf numFmtId="0" fontId="7" fillId="3" borderId="27" xfId="2" applyFont="1" applyFill="1" applyBorder="1" applyAlignment="1">
      <alignment horizontal="justify" vertical="center" wrapText="1"/>
    </xf>
    <xf numFmtId="0" fontId="13" fillId="0" borderId="27" xfId="4" applyFont="1" applyFill="1" applyBorder="1" applyAlignment="1">
      <alignment horizontal="center" vertical="center" wrapText="1"/>
    </xf>
    <xf numFmtId="9" fontId="7" fillId="3" borderId="46" xfId="2" applyNumberFormat="1" applyFont="1" applyFill="1" applyBorder="1" applyAlignment="1">
      <alignment horizontal="center" vertical="center" wrapText="1"/>
    </xf>
    <xf numFmtId="9" fontId="7" fillId="3" borderId="46" xfId="2" applyNumberFormat="1" applyFont="1" applyFill="1" applyBorder="1" applyAlignment="1">
      <alignment horizontal="justify" vertical="center" wrapText="1"/>
    </xf>
    <xf numFmtId="0" fontId="12" fillId="3" borderId="27" xfId="2" applyFont="1" applyFill="1" applyBorder="1" applyAlignment="1">
      <alignment horizontal="justify" vertical="center" wrapText="1"/>
    </xf>
    <xf numFmtId="0" fontId="12" fillId="3" borderId="15" xfId="4" applyFont="1" applyFill="1" applyBorder="1" applyAlignment="1">
      <alignment horizontal="left" vertical="center" wrapText="1"/>
    </xf>
    <xf numFmtId="9" fontId="0" fillId="5" borderId="13" xfId="1" applyFont="1" applyFill="1" applyBorder="1" applyAlignment="1">
      <alignment horizontal="center" vertical="center"/>
    </xf>
    <xf numFmtId="9" fontId="12" fillId="0" borderId="13" xfId="4" applyNumberFormat="1" applyFont="1" applyFill="1" applyBorder="1" applyAlignment="1">
      <alignment horizontal="center" vertical="center" wrapText="1"/>
    </xf>
    <xf numFmtId="0" fontId="12" fillId="3" borderId="13" xfId="4" applyFont="1" applyFill="1" applyBorder="1" applyAlignment="1">
      <alignment vertical="center" wrapText="1"/>
    </xf>
    <xf numFmtId="9" fontId="12" fillId="0" borderId="30" xfId="1" applyFont="1" applyFill="1" applyBorder="1" applyAlignment="1">
      <alignment horizontal="center" vertical="center"/>
    </xf>
    <xf numFmtId="0" fontId="12" fillId="3" borderId="15" xfId="4" applyFont="1" applyFill="1" applyBorder="1" applyAlignment="1">
      <alignment horizontal="center" vertical="center" wrapText="1"/>
    </xf>
    <xf numFmtId="9" fontId="12" fillId="0" borderId="15" xfId="4" applyNumberFormat="1" applyFont="1" applyFill="1" applyBorder="1" applyAlignment="1">
      <alignment horizontal="center" vertical="center" wrapText="1"/>
    </xf>
    <xf numFmtId="0" fontId="12" fillId="0" borderId="15" xfId="4" applyFont="1" applyFill="1" applyBorder="1" applyAlignment="1">
      <alignment vertical="center" wrapText="1"/>
    </xf>
    <xf numFmtId="9" fontId="12" fillId="0" borderId="15" xfId="4" applyNumberFormat="1" applyFont="1" applyFill="1" applyBorder="1" applyAlignment="1">
      <alignment vertical="center" wrapText="1"/>
    </xf>
    <xf numFmtId="9" fontId="12" fillId="0" borderId="37" xfId="1" applyFont="1" applyFill="1" applyBorder="1" applyAlignment="1">
      <alignment horizontal="center" vertical="center"/>
    </xf>
    <xf numFmtId="0" fontId="19" fillId="3" borderId="15" xfId="4" applyFont="1" applyFill="1" applyBorder="1" applyAlignment="1">
      <alignment horizontal="left" vertical="center" wrapText="1"/>
    </xf>
    <xf numFmtId="0" fontId="13" fillId="0" borderId="34" xfId="4" applyFont="1" applyFill="1" applyBorder="1" applyAlignment="1">
      <alignment horizontal="center" vertical="center" wrapText="1"/>
    </xf>
    <xf numFmtId="0" fontId="12" fillId="0" borderId="15" xfId="4" applyFont="1" applyFill="1" applyBorder="1" applyAlignment="1">
      <alignment horizontal="left" vertical="center" wrapText="1"/>
    </xf>
    <xf numFmtId="9" fontId="20" fillId="0" borderId="37" xfId="4" applyNumberFormat="1" applyFont="1" applyFill="1" applyBorder="1" applyAlignment="1">
      <alignment horizontal="center" vertical="center" wrapText="1"/>
    </xf>
    <xf numFmtId="0" fontId="20" fillId="0" borderId="15" xfId="4" applyFont="1" applyBorder="1" applyAlignment="1">
      <alignment horizontal="justify" vertical="center" readingOrder="1"/>
    </xf>
    <xf numFmtId="9" fontId="20" fillId="0" borderId="15" xfId="4" applyNumberFormat="1" applyFont="1" applyFill="1" applyBorder="1" applyAlignment="1">
      <alignment horizontal="center" vertical="center" wrapText="1"/>
    </xf>
    <xf numFmtId="9" fontId="12" fillId="0" borderId="15" xfId="2" applyNumberFormat="1" applyFont="1" applyFill="1" applyBorder="1" applyAlignment="1">
      <alignment horizontal="center" vertical="center" wrapText="1"/>
    </xf>
    <xf numFmtId="0" fontId="12" fillId="0" borderId="15" xfId="2" applyFont="1" applyFill="1" applyBorder="1" applyAlignment="1">
      <alignment horizontal="left" vertical="center" wrapText="1"/>
    </xf>
    <xf numFmtId="9" fontId="12" fillId="0" borderId="37" xfId="2" applyNumberFormat="1" applyFont="1" applyFill="1" applyBorder="1" applyAlignment="1">
      <alignment horizontal="center" vertical="center" wrapText="1"/>
    </xf>
    <xf numFmtId="0" fontId="7" fillId="3" borderId="0" xfId="4" applyFill="1" applyAlignment="1"/>
    <xf numFmtId="9" fontId="12" fillId="3" borderId="27" xfId="4" applyNumberFormat="1" applyFont="1" applyFill="1" applyBorder="1" applyAlignment="1">
      <alignment horizontal="center" vertical="center"/>
    </xf>
    <xf numFmtId="0" fontId="12" fillId="0" borderId="27" xfId="4" applyFont="1" applyFill="1" applyBorder="1" applyAlignment="1">
      <alignment horizontal="left" vertical="center" wrapText="1"/>
    </xf>
    <xf numFmtId="9" fontId="12" fillId="3" borderId="9" xfId="4" applyNumberFormat="1" applyFont="1" applyFill="1" applyBorder="1" applyAlignment="1">
      <alignment horizontal="center" vertical="center"/>
    </xf>
    <xf numFmtId="0" fontId="13" fillId="0" borderId="10" xfId="4" applyFont="1" applyFill="1" applyBorder="1" applyAlignment="1">
      <alignment horizontal="center" vertical="center" wrapText="1"/>
    </xf>
    <xf numFmtId="0" fontId="0" fillId="3" borderId="41" xfId="0" applyFill="1" applyBorder="1" applyAlignment="1">
      <alignment horizontal="center" vertical="center"/>
    </xf>
    <xf numFmtId="9" fontId="0" fillId="3" borderId="41" xfId="1" applyFont="1" applyFill="1" applyBorder="1" applyAlignment="1">
      <alignment horizontal="center" vertical="center"/>
    </xf>
    <xf numFmtId="0" fontId="7" fillId="3" borderId="0" xfId="0" applyFont="1" applyFill="1"/>
    <xf numFmtId="9" fontId="12" fillId="0" borderId="13" xfId="0" applyNumberFormat="1" applyFont="1" applyFill="1" applyBorder="1" applyAlignment="1">
      <alignment vertical="center" wrapText="1"/>
    </xf>
    <xf numFmtId="0" fontId="12" fillId="0" borderId="13" xfId="0" applyFont="1" applyFill="1" applyBorder="1" applyAlignment="1">
      <alignment horizontal="left" vertical="center" wrapText="1"/>
    </xf>
    <xf numFmtId="9" fontId="12" fillId="0" borderId="16" xfId="1" applyFont="1" applyFill="1" applyBorder="1" applyAlignment="1">
      <alignment horizontal="center" vertical="center"/>
    </xf>
    <xf numFmtId="0" fontId="14" fillId="3" borderId="13" xfId="0" applyFont="1" applyFill="1" applyBorder="1" applyAlignment="1">
      <alignment horizontal="center" vertical="center" wrapText="1"/>
    </xf>
    <xf numFmtId="9" fontId="12" fillId="0" borderId="15" xfId="0" applyNumberFormat="1" applyFont="1" applyFill="1" applyBorder="1" applyAlignment="1">
      <alignment vertical="center" wrapText="1"/>
    </xf>
    <xf numFmtId="0" fontId="12" fillId="0" borderId="15" xfId="0" applyFont="1" applyFill="1" applyBorder="1" applyAlignment="1">
      <alignment horizontal="left" vertical="center" wrapText="1"/>
    </xf>
    <xf numFmtId="9" fontId="12" fillId="0" borderId="21" xfId="1" applyFont="1" applyFill="1" applyBorder="1" applyAlignment="1">
      <alignment horizontal="center" vertical="center"/>
    </xf>
    <xf numFmtId="0" fontId="14" fillId="3"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27" xfId="0" applyFont="1" applyFill="1" applyBorder="1" applyAlignment="1">
      <alignment horizontal="left" vertical="center" wrapText="1"/>
    </xf>
    <xf numFmtId="9" fontId="12" fillId="0" borderId="27" xfId="0" applyNumberFormat="1" applyFont="1" applyFill="1" applyBorder="1" applyAlignment="1">
      <alignment vertical="center" wrapText="1"/>
    </xf>
    <xf numFmtId="9" fontId="12" fillId="0" borderId="28" xfId="1" applyFont="1" applyFill="1" applyBorder="1" applyAlignment="1">
      <alignment horizontal="center" vertical="center"/>
    </xf>
    <xf numFmtId="0" fontId="14" fillId="3" borderId="27" xfId="0" applyFont="1" applyFill="1" applyBorder="1" applyAlignment="1">
      <alignment horizontal="center" vertical="center" wrapText="1"/>
    </xf>
    <xf numFmtId="9" fontId="14" fillId="3" borderId="15" xfId="1" applyFont="1" applyFill="1" applyBorder="1" applyAlignment="1">
      <alignment horizontal="center" vertical="center" wrapText="1"/>
    </xf>
    <xf numFmtId="0" fontId="12" fillId="3" borderId="46" xfId="4" applyFont="1" applyFill="1" applyBorder="1" applyAlignment="1">
      <alignment horizontal="justify" vertical="center" wrapText="1"/>
    </xf>
    <xf numFmtId="0" fontId="12" fillId="0" borderId="46" xfId="4" applyFont="1" applyFill="1" applyBorder="1" applyAlignment="1">
      <alignment horizontal="justify" vertical="center" wrapText="1"/>
    </xf>
    <xf numFmtId="9" fontId="12" fillId="0" borderId="46" xfId="4" applyNumberFormat="1" applyFont="1" applyFill="1" applyBorder="1" applyAlignment="1">
      <alignment horizontal="center" vertical="center" wrapText="1"/>
    </xf>
    <xf numFmtId="0" fontId="19" fillId="3" borderId="46" xfId="4" applyFont="1" applyFill="1" applyBorder="1" applyAlignment="1">
      <alignment horizontal="justify" vertical="center" wrapText="1"/>
    </xf>
    <xf numFmtId="9" fontId="12" fillId="0" borderId="46" xfId="4" applyNumberFormat="1" applyFont="1" applyFill="1" applyBorder="1" applyAlignment="1">
      <alignment horizontal="justify" vertical="center" wrapText="1"/>
    </xf>
    <xf numFmtId="9" fontId="12" fillId="0" borderId="36" xfId="1" applyFont="1" applyFill="1" applyBorder="1" applyAlignment="1">
      <alignment horizontal="center" vertical="center"/>
    </xf>
    <xf numFmtId="0" fontId="12" fillId="0" borderId="15" xfId="4" applyFont="1" applyFill="1" applyBorder="1" applyAlignment="1">
      <alignment horizontal="justify" vertical="center" wrapText="1"/>
    </xf>
    <xf numFmtId="0" fontId="19" fillId="0" borderId="15" xfId="4" applyFont="1" applyFill="1" applyBorder="1" applyAlignment="1">
      <alignment horizontal="justify" vertical="center" wrapText="1"/>
    </xf>
    <xf numFmtId="9" fontId="12" fillId="0" borderId="21" xfId="1" applyFont="1" applyFill="1" applyBorder="1" applyAlignment="1">
      <alignment horizontal="center" vertical="center" wrapText="1"/>
    </xf>
    <xf numFmtId="0" fontId="12" fillId="3" borderId="15" xfId="4" applyFont="1" applyFill="1" applyBorder="1" applyAlignment="1">
      <alignment horizontal="justify" vertical="center" wrapText="1"/>
    </xf>
    <xf numFmtId="0" fontId="12" fillId="3" borderId="27" xfId="4" applyFont="1" applyFill="1" applyBorder="1" applyAlignment="1">
      <alignment horizontal="justify" vertical="center" wrapText="1"/>
    </xf>
    <xf numFmtId="0" fontId="12" fillId="0" borderId="27" xfId="4" applyFont="1" applyFill="1" applyBorder="1" applyAlignment="1">
      <alignment horizontal="justify" vertical="center" wrapText="1"/>
    </xf>
    <xf numFmtId="0" fontId="12" fillId="0" borderId="13" xfId="4" applyFont="1" applyFill="1" applyBorder="1" applyAlignment="1">
      <alignment horizontal="justify" vertical="center" wrapText="1"/>
    </xf>
    <xf numFmtId="0" fontId="14" fillId="0" borderId="15" xfId="4" applyFont="1" applyFill="1" applyBorder="1" applyAlignment="1">
      <alignment horizontal="center" vertical="center" wrapText="1"/>
    </xf>
    <xf numFmtId="9" fontId="12" fillId="3" borderId="21" xfId="1" applyFont="1" applyFill="1" applyBorder="1" applyAlignment="1">
      <alignment horizontal="center" vertical="center"/>
    </xf>
    <xf numFmtId="0" fontId="12" fillId="3" borderId="15" xfId="4" applyFont="1" applyFill="1" applyBorder="1" applyAlignment="1">
      <alignment vertical="center"/>
    </xf>
    <xf numFmtId="0" fontId="12" fillId="0" borderId="20" xfId="4" applyFont="1" applyFill="1" applyBorder="1" applyAlignment="1">
      <alignment horizontal="justify" vertical="center" wrapText="1"/>
    </xf>
    <xf numFmtId="0" fontId="14" fillId="3" borderId="0" xfId="4" applyFont="1" applyFill="1" applyBorder="1"/>
    <xf numFmtId="9" fontId="14" fillId="3" borderId="0" xfId="1" applyNumberFormat="1" applyFont="1" applyFill="1" applyBorder="1" applyAlignment="1">
      <alignment horizontal="center" vertical="center"/>
    </xf>
    <xf numFmtId="14" fontId="26" fillId="3" borderId="0" xfId="4" applyNumberFormat="1" applyFont="1" applyFill="1" applyBorder="1"/>
    <xf numFmtId="0" fontId="14" fillId="3" borderId="0" xfId="4" applyFont="1" applyFill="1" applyBorder="1" applyAlignment="1">
      <alignment horizontal="center"/>
    </xf>
    <xf numFmtId="0" fontId="14" fillId="3" borderId="0" xfId="4" applyFont="1" applyFill="1" applyBorder="1" applyAlignment="1">
      <alignment horizontal="justify" vertical="center"/>
    </xf>
    <xf numFmtId="0" fontId="7" fillId="3" borderId="0" xfId="4" applyFill="1" applyBorder="1"/>
    <xf numFmtId="9" fontId="0" fillId="3" borderId="0" xfId="1" applyNumberFormat="1" applyFont="1" applyFill="1" applyBorder="1" applyAlignment="1">
      <alignment horizontal="center" vertical="center"/>
    </xf>
    <xf numFmtId="0" fontId="7" fillId="3" borderId="0" xfId="4" applyFill="1" applyBorder="1" applyAlignment="1">
      <alignment horizontal="center"/>
    </xf>
    <xf numFmtId="0" fontId="7" fillId="3" borderId="0" xfId="4" applyFill="1" applyBorder="1" applyAlignment="1">
      <alignment horizontal="justify" vertical="center"/>
    </xf>
    <xf numFmtId="0" fontId="12" fillId="0" borderId="35" xfId="4" applyFont="1" applyFill="1" applyBorder="1" applyAlignment="1">
      <alignment horizontal="justify" vertical="center" wrapText="1"/>
    </xf>
    <xf numFmtId="0" fontId="12" fillId="0" borderId="12" xfId="4" applyFont="1" applyFill="1" applyBorder="1" applyAlignment="1">
      <alignment horizontal="justify" vertical="center" wrapText="1"/>
    </xf>
    <xf numFmtId="0" fontId="12" fillId="0" borderId="26" xfId="4" applyFont="1" applyFill="1" applyBorder="1" applyAlignment="1">
      <alignment horizontal="justify" vertical="center" wrapText="1"/>
    </xf>
    <xf numFmtId="9" fontId="12" fillId="0" borderId="27" xfId="4" applyNumberFormat="1" applyFont="1" applyFill="1" applyBorder="1" applyAlignment="1">
      <alignment horizontal="center" vertical="center" wrapText="1"/>
    </xf>
    <xf numFmtId="0" fontId="19" fillId="0" borderId="15" xfId="4" applyFont="1" applyFill="1" applyBorder="1" applyAlignment="1">
      <alignment vertical="center" wrapText="1"/>
    </xf>
    <xf numFmtId="9" fontId="12" fillId="0" borderId="15" xfId="1" applyFont="1" applyFill="1" applyBorder="1" applyAlignment="1">
      <alignment horizontal="center" vertical="center" wrapText="1"/>
    </xf>
    <xf numFmtId="0" fontId="19" fillId="3" borderId="15" xfId="4" applyFont="1" applyFill="1" applyBorder="1" applyAlignment="1">
      <alignment horizontal="justify" vertical="center" wrapText="1"/>
    </xf>
    <xf numFmtId="0" fontId="14" fillId="0" borderId="60" xfId="4" applyFont="1" applyFill="1" applyBorder="1" applyAlignment="1">
      <alignment horizontal="center" vertical="center" wrapText="1"/>
    </xf>
    <xf numFmtId="0" fontId="14" fillId="0" borderId="32" xfId="4" applyFont="1" applyFill="1" applyBorder="1" applyAlignment="1">
      <alignment horizontal="center" vertical="center" wrapText="1"/>
    </xf>
    <xf numFmtId="0" fontId="14" fillId="0" borderId="67" xfId="4" applyFont="1" applyFill="1" applyBorder="1" applyAlignment="1">
      <alignment horizontal="center" vertical="center" wrapText="1"/>
    </xf>
    <xf numFmtId="0" fontId="0" fillId="3" borderId="30" xfId="0" applyFill="1" applyBorder="1" applyAlignment="1">
      <alignment horizontal="center" vertical="center"/>
    </xf>
    <xf numFmtId="0" fontId="14" fillId="0" borderId="68" xfId="4" applyFont="1" applyFill="1" applyBorder="1" applyAlignment="1">
      <alignment horizontal="center" vertical="center" wrapText="1"/>
    </xf>
    <xf numFmtId="9" fontId="0" fillId="3" borderId="16" xfId="0" applyNumberFormat="1" applyFill="1" applyBorder="1" applyAlignment="1">
      <alignment horizontal="center" vertical="center"/>
    </xf>
    <xf numFmtId="9" fontId="0" fillId="3" borderId="50" xfId="1" applyFont="1" applyFill="1" applyBorder="1" applyAlignment="1">
      <alignment horizontal="center" vertical="center"/>
    </xf>
    <xf numFmtId="9" fontId="0" fillId="5" borderId="47" xfId="1" applyFont="1" applyFill="1" applyBorder="1" applyAlignment="1">
      <alignment horizontal="center" vertical="center"/>
    </xf>
    <xf numFmtId="9" fontId="0" fillId="3" borderId="48" xfId="0" applyNumberFormat="1" applyFill="1" applyBorder="1" applyAlignment="1">
      <alignment horizontal="center" vertical="center"/>
    </xf>
    <xf numFmtId="0" fontId="0" fillId="3" borderId="69" xfId="0" applyFill="1" applyBorder="1" applyAlignment="1">
      <alignment horizontal="center" vertical="center"/>
    </xf>
    <xf numFmtId="0" fontId="0" fillId="3" borderId="51" xfId="0" applyFill="1" applyBorder="1" applyAlignment="1">
      <alignment horizontal="center" vertical="center"/>
    </xf>
    <xf numFmtId="9" fontId="0" fillId="5" borderId="70" xfId="1" applyFont="1" applyFill="1" applyBorder="1" applyAlignment="1">
      <alignment horizontal="center" vertical="center"/>
    </xf>
    <xf numFmtId="9" fontId="0" fillId="3" borderId="70" xfId="0" applyNumberFormat="1" applyFill="1" applyBorder="1" applyAlignment="1">
      <alignment horizontal="center" vertical="center"/>
    </xf>
    <xf numFmtId="9" fontId="0" fillId="3" borderId="71" xfId="0" applyNumberFormat="1" applyFill="1" applyBorder="1" applyAlignment="1">
      <alignment horizontal="center" vertical="center"/>
    </xf>
    <xf numFmtId="0" fontId="12" fillId="3" borderId="0" xfId="4" applyFont="1" applyFill="1"/>
    <xf numFmtId="0" fontId="14" fillId="3" borderId="0" xfId="4" applyFont="1" applyFill="1"/>
    <xf numFmtId="0" fontId="12" fillId="0" borderId="15" xfId="2" applyFont="1" applyFill="1" applyBorder="1" applyAlignment="1">
      <alignment horizontal="center" vertical="center" wrapText="1"/>
    </xf>
    <xf numFmtId="0" fontId="12" fillId="0" borderId="15" xfId="4"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0" borderId="15" xfId="2" applyFont="1" applyFill="1" applyBorder="1" applyAlignment="1">
      <alignment horizontal="justify" vertical="center" wrapText="1"/>
    </xf>
    <xf numFmtId="0" fontId="12" fillId="3" borderId="13"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3" xfId="2" applyFont="1" applyFill="1" applyBorder="1" applyAlignment="1">
      <alignment horizontal="justify" vertical="center" wrapText="1"/>
    </xf>
    <xf numFmtId="166" fontId="12" fillId="0" borderId="21" xfId="1" applyNumberFormat="1" applyFont="1" applyFill="1" applyBorder="1" applyAlignment="1">
      <alignment horizontal="center" vertical="center"/>
    </xf>
    <xf numFmtId="9" fontId="12" fillId="3" borderId="15" xfId="4" applyNumberFormat="1" applyFont="1" applyFill="1" applyBorder="1" applyAlignment="1">
      <alignment horizontal="center" vertical="center" wrapText="1"/>
    </xf>
    <xf numFmtId="0" fontId="19" fillId="3" borderId="15" xfId="4" applyFont="1" applyFill="1" applyBorder="1" applyAlignment="1">
      <alignment vertical="center" wrapText="1"/>
    </xf>
    <xf numFmtId="9" fontId="12" fillId="3" borderId="13" xfId="4" applyNumberFormat="1" applyFont="1" applyFill="1" applyBorder="1" applyAlignment="1">
      <alignment horizontal="center" vertical="center" wrapText="1"/>
    </xf>
    <xf numFmtId="0" fontId="19" fillId="3" borderId="13" xfId="4" applyFont="1" applyFill="1" applyBorder="1" applyAlignment="1">
      <alignment vertical="center" wrapText="1"/>
    </xf>
    <xf numFmtId="0" fontId="12" fillId="3" borderId="13" xfId="4" applyFont="1" applyFill="1" applyBorder="1" applyAlignment="1">
      <alignment horizontal="left" vertical="center" wrapText="1"/>
    </xf>
    <xf numFmtId="9" fontId="0" fillId="3" borderId="51" xfId="1" applyFont="1" applyFill="1" applyBorder="1" applyAlignment="1">
      <alignment horizontal="center" vertical="center"/>
    </xf>
    <xf numFmtId="0" fontId="7" fillId="3" borderId="46" xfId="4" applyFont="1" applyFill="1" applyBorder="1" applyAlignment="1">
      <alignment horizontal="justify" vertical="center" wrapText="1"/>
    </xf>
    <xf numFmtId="0" fontId="7" fillId="0" borderId="46" xfId="4" applyFont="1" applyFill="1" applyBorder="1" applyAlignment="1">
      <alignment horizontal="justify" vertical="center" wrapText="1"/>
    </xf>
    <xf numFmtId="9" fontId="7" fillId="3" borderId="36" xfId="1" applyFont="1" applyFill="1" applyBorder="1" applyAlignment="1">
      <alignment horizontal="center" vertical="center" wrapText="1"/>
    </xf>
    <xf numFmtId="0" fontId="14" fillId="0" borderId="13" xfId="4" applyFont="1" applyFill="1" applyBorder="1" applyAlignment="1">
      <alignment horizontal="center" vertical="center" wrapText="1"/>
    </xf>
    <xf numFmtId="0" fontId="7" fillId="0" borderId="15" xfId="4" applyFont="1" applyFill="1" applyBorder="1" applyAlignment="1">
      <alignment horizontal="justify" vertical="center" wrapText="1"/>
    </xf>
    <xf numFmtId="9" fontId="7" fillId="3" borderId="21" xfId="1" applyFont="1" applyFill="1" applyBorder="1" applyAlignment="1">
      <alignment horizontal="center" vertical="center" wrapText="1"/>
    </xf>
    <xf numFmtId="9" fontId="7" fillId="0" borderId="21" xfId="1" applyFont="1" applyFill="1" applyBorder="1" applyAlignment="1">
      <alignment horizontal="center" vertical="center" wrapText="1"/>
    </xf>
    <xf numFmtId="0" fontId="7" fillId="0" borderId="0" xfId="4" applyFill="1" applyBorder="1" applyAlignment="1">
      <alignment vertical="center" wrapText="1"/>
    </xf>
    <xf numFmtId="9" fontId="7" fillId="3" borderId="27" xfId="1" applyFont="1" applyFill="1" applyBorder="1" applyAlignment="1">
      <alignment horizontal="center" vertical="center" wrapText="1"/>
    </xf>
    <xf numFmtId="0" fontId="7" fillId="0" borderId="27" xfId="4" applyFont="1" applyFill="1" applyBorder="1" applyAlignment="1">
      <alignment horizontal="justify" vertical="center" wrapText="1"/>
    </xf>
    <xf numFmtId="9" fontId="7" fillId="3" borderId="28" xfId="1" applyFont="1" applyFill="1" applyBorder="1" applyAlignment="1">
      <alignment horizontal="center" vertical="center" wrapText="1"/>
    </xf>
    <xf numFmtId="0" fontId="14" fillId="0" borderId="27" xfId="4" applyFont="1" applyFill="1" applyBorder="1" applyAlignment="1">
      <alignment horizontal="center" vertical="center" wrapText="1"/>
    </xf>
    <xf numFmtId="0" fontId="0" fillId="3" borderId="51" xfId="5" applyNumberFormat="1" applyFont="1" applyFill="1" applyBorder="1" applyAlignment="1">
      <alignment horizontal="center" vertical="center"/>
    </xf>
    <xf numFmtId="0" fontId="7" fillId="3" borderId="0" xfId="4" applyFill="1" applyAlignment="1">
      <alignment horizontal="center"/>
    </xf>
    <xf numFmtId="0" fontId="7" fillId="3" borderId="13" xfId="4" applyFont="1" applyFill="1" applyBorder="1" applyAlignment="1">
      <alignment horizontal="left" vertical="center" wrapText="1"/>
    </xf>
    <xf numFmtId="9" fontId="7" fillId="3" borderId="13" xfId="4" applyNumberFormat="1" applyFont="1" applyFill="1" applyBorder="1" applyAlignment="1">
      <alignment horizontal="left" vertical="center" wrapText="1"/>
    </xf>
    <xf numFmtId="9" fontId="7" fillId="0" borderId="16" xfId="1" applyFont="1" applyFill="1" applyBorder="1" applyAlignment="1">
      <alignment horizontal="center" vertical="center"/>
    </xf>
    <xf numFmtId="9" fontId="7" fillId="0" borderId="21" xfId="1" applyFont="1" applyFill="1" applyBorder="1" applyAlignment="1">
      <alignment horizontal="center" vertical="center"/>
    </xf>
    <xf numFmtId="0" fontId="27" fillId="3" borderId="15" xfId="4" applyFont="1" applyFill="1" applyBorder="1" applyAlignment="1">
      <alignment horizontal="justify" vertical="center" wrapText="1"/>
    </xf>
    <xf numFmtId="0" fontId="14" fillId="3" borderId="60" xfId="4" applyFont="1" applyFill="1" applyBorder="1" applyAlignment="1">
      <alignment horizontal="center" vertical="center" wrapText="1"/>
    </xf>
    <xf numFmtId="0" fontId="27" fillId="3" borderId="15" xfId="4" applyFont="1" applyFill="1" applyBorder="1" applyAlignment="1">
      <alignment horizontal="left" vertical="center" wrapText="1"/>
    </xf>
    <xf numFmtId="166" fontId="7" fillId="0" borderId="21" xfId="1" applyNumberFormat="1" applyFont="1" applyFill="1" applyBorder="1" applyAlignment="1">
      <alignment horizontal="center" vertical="center"/>
    </xf>
    <xf numFmtId="0" fontId="14" fillId="3" borderId="67" xfId="4" applyFont="1" applyFill="1" applyBorder="1" applyAlignment="1">
      <alignment horizontal="center" vertical="center" wrapText="1"/>
    </xf>
    <xf numFmtId="0" fontId="14" fillId="3" borderId="32" xfId="4" applyFont="1" applyFill="1" applyBorder="1" applyAlignment="1">
      <alignment horizontal="center" vertical="center" wrapText="1"/>
    </xf>
    <xf numFmtId="166" fontId="7" fillId="0" borderId="28" xfId="1" applyNumberFormat="1" applyFont="1" applyFill="1" applyBorder="1" applyAlignment="1">
      <alignment horizontal="center" vertical="center"/>
    </xf>
    <xf numFmtId="0" fontId="19" fillId="0" borderId="13" xfId="4" applyFont="1" applyFill="1" applyBorder="1" applyAlignment="1">
      <alignment horizontal="justify" vertical="center" wrapText="1"/>
    </xf>
    <xf numFmtId="166" fontId="12" fillId="3" borderId="21" xfId="1" applyNumberFormat="1" applyFont="1" applyFill="1" applyBorder="1" applyAlignment="1">
      <alignment horizontal="center" vertical="center"/>
    </xf>
    <xf numFmtId="0" fontId="28" fillId="3" borderId="57" xfId="4" applyFont="1" applyFill="1" applyBorder="1" applyAlignment="1">
      <alignment horizontal="center" vertical="center" wrapText="1"/>
    </xf>
    <xf numFmtId="0" fontId="7" fillId="3" borderId="0" xfId="4" applyFill="1" applyAlignment="1">
      <alignment wrapText="1"/>
    </xf>
    <xf numFmtId="0" fontId="28" fillId="3" borderId="60" xfId="4" applyFont="1" applyFill="1" applyBorder="1" applyAlignment="1">
      <alignment horizontal="center" vertical="center" wrapText="1"/>
    </xf>
    <xf numFmtId="0" fontId="29" fillId="0" borderId="15" xfId="4" applyFont="1" applyFill="1" applyBorder="1" applyAlignment="1">
      <alignment horizontal="justify" vertical="center" wrapText="1"/>
    </xf>
    <xf numFmtId="0" fontId="12" fillId="3" borderId="15" xfId="4" applyFont="1" applyFill="1" applyBorder="1" applyAlignment="1">
      <alignment horizontal="justify" vertical="center"/>
    </xf>
    <xf numFmtId="0" fontId="28" fillId="3" borderId="37" xfId="4" applyFont="1" applyFill="1" applyBorder="1" applyAlignment="1">
      <alignment horizontal="center" vertical="center" wrapText="1"/>
    </xf>
    <xf numFmtId="0" fontId="28" fillId="3" borderId="15" xfId="4" applyFont="1" applyFill="1" applyBorder="1" applyAlignment="1">
      <alignment horizontal="center" vertical="center" wrapText="1"/>
    </xf>
    <xf numFmtId="0" fontId="30" fillId="0" borderId="15" xfId="4" applyFont="1" applyFill="1" applyBorder="1" applyAlignment="1">
      <alignment horizontal="justify" vertical="center" wrapText="1"/>
    </xf>
    <xf numFmtId="0" fontId="12" fillId="3" borderId="15" xfId="4" applyFont="1" applyFill="1" applyBorder="1" applyAlignment="1">
      <alignment vertical="center" wrapText="1"/>
    </xf>
    <xf numFmtId="0" fontId="28" fillId="3" borderId="27" xfId="4" applyFont="1" applyFill="1" applyBorder="1" applyAlignment="1">
      <alignment horizontal="center" vertical="center" wrapText="1"/>
    </xf>
    <xf numFmtId="0" fontId="27" fillId="0" borderId="12" xfId="4" applyFont="1" applyBorder="1" applyAlignment="1">
      <alignment vertical="center" wrapText="1"/>
    </xf>
    <xf numFmtId="9" fontId="12" fillId="3" borderId="0" xfId="1" applyNumberFormat="1" applyFont="1" applyFill="1" applyAlignment="1">
      <alignment horizontal="center" vertical="center"/>
    </xf>
    <xf numFmtId="0" fontId="7" fillId="3" borderId="0" xfId="4" applyFont="1" applyFill="1"/>
    <xf numFmtId="9" fontId="7" fillId="3" borderId="0" xfId="1" applyNumberFormat="1" applyFont="1" applyFill="1" applyAlignment="1">
      <alignment horizontal="center" vertical="center"/>
    </xf>
    <xf numFmtId="0" fontId="7" fillId="0" borderId="0" xfId="4" applyFont="1" applyFill="1" applyAlignment="1">
      <alignment horizontal="justify" vertical="center"/>
    </xf>
    <xf numFmtId="0" fontId="28" fillId="3" borderId="0" xfId="4" applyFont="1" applyFill="1" applyBorder="1" applyAlignment="1">
      <alignment vertical="center" wrapText="1"/>
    </xf>
    <xf numFmtId="0" fontId="7" fillId="3" borderId="0" xfId="4" applyFont="1" applyFill="1" applyAlignment="1">
      <alignment horizontal="center"/>
    </xf>
    <xf numFmtId="0" fontId="12" fillId="3" borderId="46" xfId="4" applyFont="1" applyFill="1" applyBorder="1" applyAlignment="1">
      <alignment vertical="center" wrapText="1"/>
    </xf>
    <xf numFmtId="0" fontId="12" fillId="0" borderId="46" xfId="4" applyFont="1" applyFill="1" applyBorder="1" applyAlignment="1">
      <alignment vertical="center" wrapText="1"/>
    </xf>
    <xf numFmtId="9" fontId="12" fillId="0" borderId="36" xfId="1" applyNumberFormat="1" applyFont="1" applyFill="1" applyBorder="1" applyAlignment="1">
      <alignment horizontal="center" vertical="center"/>
    </xf>
    <xf numFmtId="0" fontId="7" fillId="3" borderId="0" xfId="4" applyFont="1" applyFill="1" applyBorder="1" applyAlignment="1">
      <alignment vertical="center"/>
    </xf>
    <xf numFmtId="9" fontId="12" fillId="0" borderId="21" xfId="1" applyNumberFormat="1" applyFont="1" applyFill="1" applyBorder="1" applyAlignment="1">
      <alignment horizontal="center" vertical="center"/>
    </xf>
    <xf numFmtId="9" fontId="12" fillId="0" borderId="15" xfId="2" applyNumberFormat="1" applyFont="1" applyFill="1" applyBorder="1" applyAlignment="1">
      <alignment horizontal="justify" vertical="center" wrapText="1"/>
    </xf>
    <xf numFmtId="0" fontId="13" fillId="0" borderId="15" xfId="2" applyFont="1" applyFill="1" applyBorder="1" applyAlignment="1">
      <alignment horizontal="justify" vertical="center" wrapText="1"/>
    </xf>
    <xf numFmtId="9" fontId="12" fillId="0" borderId="20" xfId="2" applyNumberFormat="1" applyFont="1" applyFill="1" applyBorder="1" applyAlignment="1">
      <alignment horizontal="justify" vertical="center" wrapText="1"/>
    </xf>
    <xf numFmtId="9" fontId="12" fillId="0" borderId="25" xfId="1" applyNumberFormat="1" applyFont="1" applyFill="1" applyBorder="1" applyAlignment="1">
      <alignment horizontal="center" vertical="center"/>
    </xf>
    <xf numFmtId="0" fontId="7" fillId="3" borderId="0" xfId="4" applyFont="1" applyFill="1" applyAlignment="1">
      <alignment horizontal="justify" vertical="center"/>
    </xf>
    <xf numFmtId="9" fontId="12" fillId="0" borderId="46" xfId="2" applyNumberFormat="1" applyFont="1" applyFill="1" applyBorder="1" applyAlignment="1">
      <alignment horizontal="justify" vertical="center" wrapText="1"/>
    </xf>
    <xf numFmtId="9" fontId="12" fillId="0" borderId="27" xfId="2" applyNumberFormat="1" applyFont="1" applyFill="1" applyBorder="1" applyAlignment="1">
      <alignment horizontal="justify" vertical="center" wrapText="1"/>
    </xf>
    <xf numFmtId="9" fontId="12" fillId="0" borderId="28" xfId="1" applyNumberFormat="1" applyFont="1" applyFill="1" applyBorder="1" applyAlignment="1">
      <alignment horizontal="center" vertical="center"/>
    </xf>
    <xf numFmtId="0" fontId="14" fillId="0" borderId="17"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35" xfId="4" applyFont="1" applyFill="1" applyBorder="1" applyAlignment="1">
      <alignment horizontal="center" vertical="center" wrapText="1"/>
    </xf>
    <xf numFmtId="0" fontId="14" fillId="0" borderId="23" xfId="4" applyFont="1" applyFill="1" applyBorder="1" applyAlignment="1">
      <alignment horizontal="center" vertical="center" wrapText="1"/>
    </xf>
    <xf numFmtId="0" fontId="14" fillId="0" borderId="61" xfId="4" applyFont="1" applyFill="1" applyBorder="1" applyAlignment="1">
      <alignment horizontal="center" vertical="center" wrapText="1"/>
    </xf>
    <xf numFmtId="9" fontId="14" fillId="3" borderId="15" xfId="4" applyNumberFormat="1" applyFont="1" applyFill="1" applyBorder="1" applyAlignment="1">
      <alignment horizontal="center" vertical="center"/>
    </xf>
    <xf numFmtId="9" fontId="19" fillId="3" borderId="21" xfId="4" applyNumberFormat="1" applyFont="1" applyFill="1" applyBorder="1" applyAlignment="1">
      <alignment horizontal="center" vertical="center" wrapText="1"/>
    </xf>
    <xf numFmtId="0" fontId="13" fillId="0" borderId="38" xfId="4" applyFont="1" applyFill="1" applyBorder="1" applyAlignment="1">
      <alignment horizontal="center" vertical="center" wrapText="1"/>
    </xf>
    <xf numFmtId="0" fontId="13" fillId="0" borderId="18" xfId="4" applyFont="1" applyFill="1" applyBorder="1" applyAlignment="1">
      <alignment horizontal="center" vertical="center" wrapText="1"/>
    </xf>
    <xf numFmtId="9" fontId="19" fillId="0" borderId="21" xfId="4" applyNumberFormat="1" applyFont="1" applyFill="1" applyBorder="1" applyAlignment="1">
      <alignment horizontal="center" vertical="center" wrapText="1"/>
    </xf>
    <xf numFmtId="0" fontId="29" fillId="3" borderId="15" xfId="4" applyFont="1" applyFill="1" applyBorder="1" applyAlignment="1">
      <alignment horizontal="justify" vertical="center" wrapText="1"/>
    </xf>
    <xf numFmtId="9" fontId="29" fillId="3" borderId="21" xfId="1" applyFont="1" applyFill="1" applyBorder="1" applyAlignment="1">
      <alignment horizontal="center" vertical="center"/>
    </xf>
    <xf numFmtId="0" fontId="29" fillId="3" borderId="20" xfId="4" applyFont="1" applyFill="1" applyBorder="1" applyAlignment="1">
      <alignment horizontal="justify" vertical="center" wrapText="1"/>
    </xf>
    <xf numFmtId="0" fontId="19" fillId="3" borderId="20" xfId="4" applyFont="1" applyFill="1" applyBorder="1" applyAlignment="1">
      <alignment horizontal="justify" vertical="center" wrapText="1"/>
    </xf>
    <xf numFmtId="9" fontId="12" fillId="3" borderId="25" xfId="1" applyFont="1" applyFill="1" applyBorder="1" applyAlignment="1">
      <alignment horizontal="center" vertical="center"/>
    </xf>
    <xf numFmtId="0" fontId="29" fillId="3" borderId="15" xfId="4" applyFont="1" applyFill="1" applyBorder="1" applyAlignment="1">
      <alignment horizontal="justify" vertical="center"/>
    </xf>
    <xf numFmtId="9" fontId="12" fillId="3" borderId="49" xfId="4" applyNumberFormat="1" applyFont="1" applyFill="1" applyBorder="1" applyAlignment="1">
      <alignment horizontal="center" vertical="center"/>
    </xf>
    <xf numFmtId="0" fontId="13" fillId="0" borderId="24" xfId="4" applyFont="1" applyFill="1" applyBorder="1" applyAlignment="1">
      <alignment horizontal="center" vertical="center" wrapText="1"/>
    </xf>
    <xf numFmtId="0" fontId="13" fillId="0" borderId="39" xfId="4" applyFont="1" applyFill="1" applyBorder="1" applyAlignment="1">
      <alignment horizontal="center" vertical="center" wrapText="1"/>
    </xf>
    <xf numFmtId="0" fontId="12" fillId="3" borderId="26" xfId="4" applyFont="1" applyFill="1" applyBorder="1" applyAlignment="1">
      <alignment horizontal="left" vertical="center" wrapText="1"/>
    </xf>
    <xf numFmtId="9" fontId="19" fillId="3" borderId="27" xfId="4" applyNumberFormat="1" applyFont="1" applyFill="1" applyBorder="1" applyAlignment="1">
      <alignment horizontal="center" vertical="center" wrapText="1"/>
    </xf>
    <xf numFmtId="9" fontId="12" fillId="3" borderId="47" xfId="4" applyNumberFormat="1" applyFont="1" applyFill="1" applyBorder="1" applyAlignment="1">
      <alignment vertical="center" wrapText="1"/>
    </xf>
    <xf numFmtId="0" fontId="19" fillId="3" borderId="27" xfId="4" applyFont="1" applyFill="1" applyBorder="1" applyAlignment="1">
      <alignment horizontal="justify" vertical="center" wrapText="1"/>
    </xf>
    <xf numFmtId="9" fontId="12" fillId="3" borderId="28" xfId="1" applyFont="1" applyFill="1" applyBorder="1" applyAlignment="1">
      <alignment horizontal="center" vertical="center"/>
    </xf>
    <xf numFmtId="0" fontId="19" fillId="3" borderId="46" xfId="4" applyFont="1" applyFill="1" applyBorder="1" applyAlignment="1">
      <alignment vertical="center" wrapText="1"/>
    </xf>
    <xf numFmtId="9" fontId="12" fillId="0" borderId="46" xfId="4" applyNumberFormat="1" applyFont="1" applyFill="1" applyBorder="1" applyAlignment="1">
      <alignment vertical="center" wrapText="1"/>
    </xf>
    <xf numFmtId="0" fontId="29" fillId="0" borderId="15" xfId="4" applyFont="1" applyFill="1" applyBorder="1" applyAlignment="1">
      <alignment vertical="center" wrapText="1"/>
    </xf>
    <xf numFmtId="0" fontId="29" fillId="0" borderId="15" xfId="4" applyFont="1" applyFill="1" applyBorder="1" applyAlignment="1">
      <alignment horizontal="left" vertical="center" wrapText="1"/>
    </xf>
    <xf numFmtId="0" fontId="31" fillId="12" borderId="51" xfId="0" applyFont="1" applyFill="1" applyBorder="1" applyAlignment="1">
      <alignment horizontal="center" vertical="center"/>
    </xf>
    <xf numFmtId="0" fontId="31" fillId="12" borderId="55" xfId="0" applyFont="1" applyFill="1" applyBorder="1" applyAlignment="1">
      <alignment horizontal="center" vertical="center" wrapText="1"/>
    </xf>
    <xf numFmtId="0" fontId="31" fillId="12" borderId="53" xfId="0" applyFont="1" applyFill="1" applyBorder="1" applyAlignment="1">
      <alignment horizontal="center" vertical="center" wrapText="1"/>
    </xf>
    <xf numFmtId="0" fontId="32" fillId="3" borderId="42" xfId="0" applyFont="1" applyFill="1" applyBorder="1" applyAlignment="1">
      <alignment horizontal="left" vertical="center" wrapText="1"/>
    </xf>
    <xf numFmtId="0" fontId="31" fillId="12" borderId="8" xfId="0" applyFont="1" applyFill="1" applyBorder="1" applyAlignment="1">
      <alignment horizontal="center"/>
    </xf>
    <xf numFmtId="0" fontId="12" fillId="3" borderId="12" xfId="2" applyFont="1" applyFill="1" applyBorder="1" applyAlignment="1">
      <alignment vertical="center" wrapText="1"/>
    </xf>
    <xf numFmtId="0" fontId="12" fillId="3" borderId="12" xfId="2" applyFont="1" applyFill="1" applyBorder="1" applyAlignment="1">
      <alignment horizontal="justify" vertical="center" wrapText="1"/>
    </xf>
    <xf numFmtId="0" fontId="12" fillId="3" borderId="23" xfId="2" applyFont="1" applyFill="1" applyBorder="1" applyAlignment="1">
      <alignment horizontal="justify" vertical="center" wrapText="1"/>
    </xf>
    <xf numFmtId="9" fontId="12" fillId="3" borderId="27" xfId="0" applyNumberFormat="1" applyFont="1" applyFill="1" applyBorder="1" applyAlignment="1">
      <alignment horizontal="center" vertical="center" wrapText="1"/>
    </xf>
    <xf numFmtId="0" fontId="12" fillId="3" borderId="27" xfId="0" applyFont="1" applyFill="1" applyBorder="1" applyAlignment="1">
      <alignment horizontal="justify" vertical="center" wrapText="1"/>
    </xf>
    <xf numFmtId="9" fontId="12" fillId="3" borderId="28" xfId="0" applyNumberFormat="1" applyFont="1" applyFill="1" applyBorder="1" applyAlignment="1">
      <alignment horizontal="center" vertical="center" wrapText="1"/>
    </xf>
    <xf numFmtId="9" fontId="7" fillId="3" borderId="0" xfId="4" applyNumberFormat="1" applyFill="1" applyAlignment="1">
      <alignment horizontal="center" vertical="center"/>
    </xf>
    <xf numFmtId="166" fontId="7" fillId="3" borderId="0" xfId="4" applyNumberFormat="1" applyFont="1" applyFill="1" applyAlignment="1">
      <alignment horizontal="center" vertical="center"/>
    </xf>
    <xf numFmtId="0" fontId="7" fillId="3" borderId="69" xfId="0" applyFont="1" applyFill="1" applyBorder="1" applyAlignment="1">
      <alignment horizontal="center" vertical="center"/>
    </xf>
    <xf numFmtId="9" fontId="7" fillId="3" borderId="51" xfId="1" applyFont="1" applyFill="1" applyBorder="1" applyAlignment="1">
      <alignment horizontal="center" vertical="center"/>
    </xf>
    <xf numFmtId="9" fontId="7" fillId="5" borderId="70" xfId="1" applyFont="1" applyFill="1" applyBorder="1" applyAlignment="1">
      <alignment horizontal="center" vertical="center"/>
    </xf>
    <xf numFmtId="9" fontId="7" fillId="3" borderId="70" xfId="0" applyNumberFormat="1" applyFont="1" applyFill="1" applyBorder="1" applyAlignment="1">
      <alignment horizontal="center" vertical="center"/>
    </xf>
    <xf numFmtId="9" fontId="7" fillId="3" borderId="71" xfId="0" applyNumberFormat="1" applyFont="1" applyFill="1" applyBorder="1" applyAlignment="1">
      <alignment horizontal="center" vertical="center"/>
    </xf>
    <xf numFmtId="0" fontId="7" fillId="3" borderId="51" xfId="5" applyNumberFormat="1" applyFont="1" applyFill="1" applyBorder="1" applyAlignment="1">
      <alignment horizontal="center" vertical="center"/>
    </xf>
    <xf numFmtId="10" fontId="32" fillId="3" borderId="24" xfId="0" applyNumberFormat="1" applyFont="1" applyFill="1" applyBorder="1" applyAlignment="1">
      <alignment horizontal="center"/>
    </xf>
    <xf numFmtId="10" fontId="32" fillId="3" borderId="24" xfId="1" applyNumberFormat="1" applyFont="1" applyFill="1" applyBorder="1" applyAlignment="1">
      <alignment horizontal="center"/>
    </xf>
    <xf numFmtId="166" fontId="0" fillId="3" borderId="15" xfId="1" applyNumberFormat="1" applyFont="1" applyFill="1" applyBorder="1" applyAlignment="1">
      <alignment horizontal="center" vertical="center"/>
    </xf>
    <xf numFmtId="166" fontId="0" fillId="3" borderId="0" xfId="0" applyNumberFormat="1" applyFill="1" applyAlignment="1">
      <alignment horizontal="center" vertical="center"/>
    </xf>
    <xf numFmtId="166" fontId="7" fillId="3" borderId="0" xfId="4" applyNumberFormat="1" applyFill="1" applyAlignment="1">
      <alignment horizontal="center" vertical="center"/>
    </xf>
    <xf numFmtId="0" fontId="0" fillId="3" borderId="0" xfId="0" applyFill="1" applyAlignment="1">
      <alignment horizontal="center" vertical="center"/>
    </xf>
    <xf numFmtId="0" fontId="7" fillId="3" borderId="15" xfId="4" applyFill="1" applyBorder="1" applyAlignment="1">
      <alignment horizontal="left" vertical="center" wrapText="1"/>
    </xf>
    <xf numFmtId="9" fontId="0" fillId="3" borderId="30" xfId="1" applyFont="1" applyFill="1" applyBorder="1" applyAlignment="1">
      <alignment horizontal="center" vertical="center"/>
    </xf>
    <xf numFmtId="9" fontId="0" fillId="3" borderId="69" xfId="1" applyFont="1" applyFill="1" applyBorder="1" applyAlignment="1">
      <alignment horizontal="center" vertical="center"/>
    </xf>
    <xf numFmtId="2" fontId="7" fillId="3" borderId="0" xfId="4" applyNumberFormat="1" applyFill="1" applyAlignment="1">
      <alignment wrapText="1"/>
    </xf>
    <xf numFmtId="10" fontId="32" fillId="3" borderId="21" xfId="0" applyNumberFormat="1" applyFont="1" applyFill="1" applyBorder="1" applyAlignment="1">
      <alignment horizontal="center"/>
    </xf>
    <xf numFmtId="10" fontId="31" fillId="12" borderId="39" xfId="0" applyNumberFormat="1" applyFont="1" applyFill="1" applyBorder="1" applyAlignment="1">
      <alignment horizontal="center"/>
    </xf>
    <xf numFmtId="0" fontId="0" fillId="3" borderId="15" xfId="0" applyFill="1" applyBorder="1" applyAlignment="1">
      <alignment wrapText="1"/>
    </xf>
    <xf numFmtId="166" fontId="14" fillId="3" borderId="15" xfId="1" applyNumberFormat="1" applyFont="1" applyFill="1" applyBorder="1" applyAlignment="1">
      <alignment horizontal="center" vertical="center" wrapText="1"/>
    </xf>
    <xf numFmtId="10" fontId="14" fillId="3" borderId="15" xfId="1" applyNumberFormat="1" applyFont="1" applyFill="1" applyBorder="1" applyAlignment="1">
      <alignment horizontal="center" vertical="center" wrapText="1"/>
    </xf>
    <xf numFmtId="166" fontId="0" fillId="3" borderId="15" xfId="0" applyNumberFormat="1" applyFill="1" applyBorder="1" applyAlignment="1">
      <alignment horizontal="center" vertical="center"/>
    </xf>
    <xf numFmtId="166" fontId="0" fillId="3" borderId="13" xfId="0" applyNumberFormat="1" applyFill="1" applyBorder="1" applyAlignment="1">
      <alignment horizontal="center" vertical="center"/>
    </xf>
    <xf numFmtId="10" fontId="0" fillId="3" borderId="0" xfId="0" applyNumberFormat="1" applyFill="1" applyAlignment="1">
      <alignment horizontal="center" vertical="center"/>
    </xf>
    <xf numFmtId="10" fontId="0" fillId="5" borderId="15" xfId="1" applyNumberFormat="1" applyFont="1" applyFill="1" applyBorder="1" applyAlignment="1">
      <alignment horizontal="center" vertical="center"/>
    </xf>
    <xf numFmtId="0" fontId="7" fillId="3" borderId="0" xfId="4" applyFill="1" applyAlignment="1">
      <alignment horizontal="center" vertical="center"/>
    </xf>
    <xf numFmtId="9" fontId="0" fillId="3" borderId="17" xfId="1" applyFont="1" applyFill="1" applyBorder="1" applyAlignment="1">
      <alignment horizontal="center" vertical="center"/>
    </xf>
    <xf numFmtId="166" fontId="0" fillId="3" borderId="70" xfId="0" applyNumberFormat="1" applyFill="1" applyBorder="1" applyAlignment="1">
      <alignment horizontal="center" vertical="center"/>
    </xf>
    <xf numFmtId="166" fontId="0" fillId="3" borderId="47" xfId="0" applyNumberFormat="1" applyFill="1" applyBorder="1" applyAlignment="1">
      <alignment horizontal="center" vertical="center"/>
    </xf>
    <xf numFmtId="166" fontId="14" fillId="3" borderId="0" xfId="4" applyNumberFormat="1" applyFont="1" applyFill="1" applyBorder="1"/>
    <xf numFmtId="10" fontId="0" fillId="3" borderId="15" xfId="1" applyNumberFormat="1" applyFont="1" applyFill="1" applyBorder="1" applyAlignment="1">
      <alignment horizontal="center" vertical="center"/>
    </xf>
    <xf numFmtId="10" fontId="7" fillId="3" borderId="0" xfId="4" applyNumberFormat="1" applyFill="1" applyAlignment="1">
      <alignment horizontal="center" vertical="center"/>
    </xf>
    <xf numFmtId="10" fontId="0" fillId="5" borderId="70" xfId="1" applyNumberFormat="1" applyFont="1" applyFill="1" applyBorder="1" applyAlignment="1">
      <alignment horizontal="center" vertical="center"/>
    </xf>
    <xf numFmtId="0" fontId="34" fillId="3" borderId="0" xfId="0" applyFont="1" applyFill="1" applyBorder="1" applyAlignment="1">
      <alignment vertical="center" wrapText="1"/>
    </xf>
    <xf numFmtId="0" fontId="12" fillId="3" borderId="13" xfId="0" applyFont="1" applyFill="1" applyBorder="1" applyAlignment="1">
      <alignment vertical="center" wrapText="1"/>
    </xf>
    <xf numFmtId="9" fontId="7" fillId="3" borderId="17" xfId="1" applyFont="1" applyFill="1" applyBorder="1" applyAlignment="1">
      <alignment horizontal="center" vertical="center"/>
    </xf>
    <xf numFmtId="9" fontId="7" fillId="3" borderId="41" xfId="1" applyFont="1" applyFill="1" applyBorder="1" applyAlignment="1">
      <alignment horizontal="center" vertical="center"/>
    </xf>
    <xf numFmtId="9" fontId="7" fillId="5" borderId="13" xfId="1" applyFont="1" applyFill="1" applyBorder="1" applyAlignment="1">
      <alignment horizontal="center" vertical="center"/>
    </xf>
    <xf numFmtId="9" fontId="7" fillId="3" borderId="13" xfId="0" applyNumberFormat="1" applyFont="1" applyFill="1" applyBorder="1" applyAlignment="1">
      <alignment horizontal="center" vertical="center"/>
    </xf>
    <xf numFmtId="166" fontId="7" fillId="3" borderId="15" xfId="1" applyNumberFormat="1" applyFont="1" applyFill="1" applyBorder="1" applyAlignment="1">
      <alignment horizontal="center" vertical="center"/>
    </xf>
    <xf numFmtId="0" fontId="7" fillId="3" borderId="17"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27" xfId="0" applyFont="1" applyFill="1" applyBorder="1" applyAlignment="1">
      <alignment vertical="center" wrapText="1"/>
    </xf>
    <xf numFmtId="9" fontId="7" fillId="3" borderId="0" xfId="0" applyNumberFormat="1" applyFont="1" applyFill="1" applyAlignment="1">
      <alignment horizontal="center" vertical="center"/>
    </xf>
    <xf numFmtId="166" fontId="7" fillId="3" borderId="0" xfId="0" applyNumberFormat="1" applyFont="1" applyFill="1" applyAlignment="1">
      <alignment horizontal="center" vertical="center"/>
    </xf>
    <xf numFmtId="0" fontId="36" fillId="3" borderId="0" xfId="8" applyFont="1" applyFill="1"/>
    <xf numFmtId="0" fontId="37" fillId="14" borderId="13" xfId="8" applyFont="1" applyFill="1" applyBorder="1" applyAlignment="1">
      <alignment horizontal="center" vertical="center"/>
    </xf>
    <xf numFmtId="0" fontId="37" fillId="14" borderId="13" xfId="8" applyFont="1" applyFill="1" applyBorder="1" applyAlignment="1">
      <alignment horizontal="center" vertical="center" wrapText="1"/>
    </xf>
    <xf numFmtId="0" fontId="37" fillId="14" borderId="13" xfId="8" applyFont="1" applyFill="1" applyBorder="1" applyAlignment="1">
      <alignment vertical="center"/>
    </xf>
    <xf numFmtId="0" fontId="7" fillId="3" borderId="15" xfId="8" applyFont="1" applyFill="1" applyBorder="1" applyAlignment="1">
      <alignment vertical="center" wrapText="1"/>
    </xf>
    <xf numFmtId="0" fontId="7" fillId="3" borderId="15" xfId="8" applyFont="1" applyFill="1" applyBorder="1" applyAlignment="1">
      <alignment horizontal="center" vertical="center" wrapText="1"/>
    </xf>
    <xf numFmtId="0" fontId="7" fillId="3" borderId="0" xfId="8" applyFont="1" applyFill="1"/>
    <xf numFmtId="0" fontId="7" fillId="3" borderId="15" xfId="8" applyFont="1" applyFill="1" applyBorder="1" applyAlignment="1">
      <alignment horizontal="left" vertical="center" wrapText="1"/>
    </xf>
    <xf numFmtId="0" fontId="7" fillId="3" borderId="15" xfId="8" applyFont="1" applyFill="1" applyBorder="1" applyAlignment="1">
      <alignment horizontal="justify" vertical="top" wrapText="1"/>
    </xf>
    <xf numFmtId="0" fontId="38" fillId="3" borderId="15" xfId="8" applyFont="1" applyFill="1" applyBorder="1" applyAlignment="1">
      <alignment vertical="center" wrapText="1"/>
    </xf>
    <xf numFmtId="0" fontId="38" fillId="3" borderId="15" xfId="8" applyFont="1" applyFill="1" applyBorder="1" applyAlignment="1">
      <alignment horizontal="center" vertical="center" wrapText="1"/>
    </xf>
    <xf numFmtId="0" fontId="7" fillId="3" borderId="15" xfId="8" applyFont="1" applyFill="1" applyBorder="1" applyAlignment="1">
      <alignment wrapText="1"/>
    </xf>
    <xf numFmtId="0" fontId="7" fillId="3" borderId="13" xfId="8" applyFont="1" applyFill="1" applyBorder="1" applyAlignment="1">
      <alignment horizontal="justify" vertical="top" wrapText="1"/>
    </xf>
    <xf numFmtId="9" fontId="7" fillId="3" borderId="15" xfId="8" applyNumberFormat="1" applyFont="1" applyFill="1" applyBorder="1" applyAlignment="1">
      <alignment horizontal="center" vertical="center" wrapText="1"/>
    </xf>
    <xf numFmtId="0" fontId="7" fillId="9" borderId="15" xfId="8" applyFont="1" applyFill="1" applyBorder="1" applyAlignment="1">
      <alignment horizontal="justify" vertical="top" wrapText="1"/>
    </xf>
    <xf numFmtId="0" fontId="7" fillId="9" borderId="15" xfId="8" applyFont="1" applyFill="1" applyBorder="1" applyAlignment="1">
      <alignment vertical="center" wrapText="1"/>
    </xf>
    <xf numFmtId="0" fontId="7" fillId="9" borderId="15" xfId="8" applyFont="1" applyFill="1" applyBorder="1" applyAlignment="1">
      <alignment horizontal="center" vertical="center"/>
    </xf>
    <xf numFmtId="0" fontId="38" fillId="9" borderId="15" xfId="8" applyFont="1" applyFill="1" applyBorder="1" applyAlignment="1">
      <alignment vertical="center" wrapText="1"/>
    </xf>
    <xf numFmtId="0" fontId="7" fillId="9" borderId="15" xfId="8" applyFont="1" applyFill="1" applyBorder="1" applyAlignment="1">
      <alignment horizontal="center" vertical="center" wrapText="1"/>
    </xf>
    <xf numFmtId="0" fontId="7" fillId="9" borderId="15" xfId="8" applyFont="1" applyFill="1" applyBorder="1" applyAlignment="1">
      <alignment horizontal="left" vertical="center" wrapText="1"/>
    </xf>
    <xf numFmtId="0" fontId="7" fillId="0" borderId="15" xfId="8" applyFont="1" applyFill="1" applyBorder="1" applyAlignment="1">
      <alignment horizontal="justify" vertical="top" wrapText="1"/>
    </xf>
    <xf numFmtId="0" fontId="7" fillId="0" borderId="15" xfId="8" applyFont="1" applyFill="1" applyBorder="1" applyAlignment="1">
      <alignment vertical="center" wrapText="1"/>
    </xf>
    <xf numFmtId="0" fontId="7" fillId="0" borderId="15" xfId="8" applyFont="1" applyFill="1" applyBorder="1" applyAlignment="1">
      <alignment horizontal="left" vertical="center" wrapText="1"/>
    </xf>
    <xf numFmtId="9" fontId="7" fillId="0" borderId="15" xfId="8" applyNumberFormat="1" applyFont="1" applyFill="1" applyBorder="1" applyAlignment="1">
      <alignment horizontal="center" vertical="center" wrapText="1"/>
    </xf>
    <xf numFmtId="0" fontId="7" fillId="0" borderId="15" xfId="8" applyFont="1" applyFill="1" applyBorder="1" applyAlignment="1">
      <alignment horizontal="center" vertical="center" wrapText="1"/>
    </xf>
    <xf numFmtId="0" fontId="36" fillId="3" borderId="0" xfId="8" applyFont="1" applyFill="1" applyAlignment="1">
      <alignment horizontal="justify" vertical="top"/>
    </xf>
    <xf numFmtId="0" fontId="36" fillId="3" borderId="0" xfId="8" applyFont="1" applyFill="1" applyAlignment="1">
      <alignment horizontal="center"/>
    </xf>
    <xf numFmtId="0" fontId="14" fillId="3" borderId="15" xfId="8" applyFont="1" applyFill="1" applyBorder="1" applyAlignment="1">
      <alignment horizontal="center" vertical="center" wrapText="1"/>
    </xf>
    <xf numFmtId="9" fontId="14" fillId="3" borderId="15" xfId="8" applyNumberFormat="1" applyFont="1" applyFill="1" applyBorder="1" applyAlignment="1">
      <alignment horizontal="center" vertical="center" wrapText="1"/>
    </xf>
    <xf numFmtId="0" fontId="14" fillId="9" borderId="15" xfId="8" applyFont="1" applyFill="1" applyBorder="1" applyAlignment="1">
      <alignment horizontal="center" vertical="center"/>
    </xf>
    <xf numFmtId="0" fontId="14" fillId="9" borderId="15" xfId="8" applyFont="1" applyFill="1" applyBorder="1" applyAlignment="1">
      <alignment horizontal="center" vertical="center" wrapText="1"/>
    </xf>
    <xf numFmtId="9" fontId="14" fillId="0" borderId="15" xfId="8" applyNumberFormat="1" applyFont="1" applyFill="1" applyBorder="1" applyAlignment="1">
      <alignment horizontal="center" vertical="center" wrapText="1"/>
    </xf>
    <xf numFmtId="0" fontId="14" fillId="0" borderId="15" xfId="8" applyFont="1" applyFill="1" applyBorder="1" applyAlignment="1">
      <alignment horizontal="center" vertical="center" wrapText="1"/>
    </xf>
    <xf numFmtId="9" fontId="7" fillId="3" borderId="15" xfId="1"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15" borderId="15" xfId="8" applyFont="1" applyFill="1" applyBorder="1" applyAlignment="1">
      <alignment horizontal="center" vertical="center" wrapText="1"/>
    </xf>
    <xf numFmtId="9" fontId="7" fillId="15" borderId="15" xfId="8" applyNumberFormat="1" applyFont="1" applyFill="1" applyBorder="1" applyAlignment="1">
      <alignment horizontal="center" vertical="center" wrapText="1"/>
    </xf>
    <xf numFmtId="9" fontId="7" fillId="15" borderId="15" xfId="1" applyFont="1" applyFill="1" applyBorder="1" applyAlignment="1">
      <alignment horizontal="center" vertical="center" wrapText="1"/>
    </xf>
    <xf numFmtId="0" fontId="0" fillId="3" borderId="15" xfId="0" applyFill="1" applyBorder="1" applyAlignment="1">
      <alignment horizontal="center" vertical="center"/>
    </xf>
    <xf numFmtId="2" fontId="7" fillId="15" borderId="15" xfId="8" applyNumberFormat="1" applyFont="1" applyFill="1" applyBorder="1" applyAlignment="1">
      <alignment horizontal="center" vertical="center" wrapText="1"/>
    </xf>
    <xf numFmtId="167" fontId="7" fillId="15" borderId="15" xfId="8" applyNumberFormat="1" applyFont="1" applyFill="1" applyBorder="1" applyAlignment="1">
      <alignment horizontal="center" vertical="center" wrapText="1"/>
    </xf>
    <xf numFmtId="1" fontId="7" fillId="15" borderId="15" xfId="8" applyNumberFormat="1" applyFont="1" applyFill="1" applyBorder="1" applyAlignment="1">
      <alignment horizontal="center" vertical="center" wrapText="1"/>
    </xf>
    <xf numFmtId="0" fontId="7" fillId="3" borderId="15" xfId="4" applyFill="1" applyBorder="1"/>
    <xf numFmtId="0" fontId="7" fillId="3" borderId="15" xfId="4" applyNumberFormat="1" applyFill="1" applyBorder="1"/>
    <xf numFmtId="9" fontId="42" fillId="3" borderId="15" xfId="8" applyNumberFormat="1" applyFont="1" applyFill="1" applyBorder="1" applyAlignment="1">
      <alignment horizontal="center" vertical="center" wrapText="1"/>
    </xf>
    <xf numFmtId="0" fontId="42" fillId="3" borderId="15" xfId="8" applyFont="1" applyFill="1" applyBorder="1" applyAlignment="1">
      <alignment horizontal="center" vertical="center" wrapText="1"/>
    </xf>
    <xf numFmtId="0" fontId="42" fillId="9" borderId="15" xfId="8" applyNumberFormat="1" applyFont="1" applyFill="1" applyBorder="1" applyAlignment="1">
      <alignment horizontal="center" vertical="center" wrapText="1"/>
    </xf>
    <xf numFmtId="0" fontId="42" fillId="9" borderId="15" xfId="8" applyFont="1" applyFill="1" applyBorder="1" applyAlignment="1">
      <alignment horizontal="center" vertical="center" wrapText="1"/>
    </xf>
    <xf numFmtId="0" fontId="7" fillId="3" borderId="15" xfId="8" applyFont="1" applyFill="1" applyBorder="1" applyAlignment="1">
      <alignment horizontal="center" vertical="center"/>
    </xf>
    <xf numFmtId="0" fontId="43" fillId="3" borderId="15" xfId="8" applyFont="1" applyFill="1" applyBorder="1" applyAlignment="1">
      <alignment horizontal="center" vertical="center"/>
    </xf>
    <xf numFmtId="0" fontId="44" fillId="3" borderId="0" xfId="8" applyFont="1" applyFill="1"/>
    <xf numFmtId="0" fontId="46" fillId="0" borderId="0" xfId="10" applyFont="1" applyFill="1" applyAlignment="1" applyProtection="1">
      <alignment wrapText="1"/>
    </xf>
    <xf numFmtId="0" fontId="47" fillId="0" borderId="69" xfId="10" applyFont="1" applyFill="1" applyBorder="1" applyAlignment="1">
      <alignment horizontal="center" vertical="center" wrapText="1"/>
    </xf>
    <xf numFmtId="0" fontId="47" fillId="0" borderId="73" xfId="10" applyFont="1" applyFill="1" applyBorder="1" applyAlignment="1">
      <alignment horizontal="center" vertical="center" wrapText="1"/>
    </xf>
    <xf numFmtId="0" fontId="48" fillId="0" borderId="73" xfId="10" applyFont="1" applyFill="1" applyBorder="1" applyAlignment="1">
      <alignment horizontal="center" vertical="center" wrapText="1"/>
    </xf>
    <xf numFmtId="0" fontId="48" fillId="0" borderId="69" xfId="10" applyFont="1" applyFill="1" applyBorder="1" applyAlignment="1" applyProtection="1">
      <alignment horizontal="center" vertical="center" wrapText="1"/>
    </xf>
    <xf numFmtId="0" fontId="47" fillId="0" borderId="70" xfId="10" applyFont="1" applyFill="1" applyBorder="1" applyAlignment="1" applyProtection="1">
      <alignment horizontal="center" vertical="center" wrapText="1"/>
    </xf>
    <xf numFmtId="0" fontId="47" fillId="0" borderId="73" xfId="10" applyFont="1" applyFill="1" applyBorder="1" applyAlignment="1" applyProtection="1">
      <alignment horizontal="center" vertical="center" wrapText="1"/>
    </xf>
    <xf numFmtId="0" fontId="47" fillId="9" borderId="70" xfId="10" applyFont="1" applyFill="1" applyBorder="1" applyAlignment="1" applyProtection="1">
      <alignment horizontal="center" vertical="center" wrapText="1"/>
    </xf>
    <xf numFmtId="0" fontId="47" fillId="9" borderId="73" xfId="10" applyFont="1" applyFill="1" applyBorder="1" applyAlignment="1" applyProtection="1">
      <alignment horizontal="center" vertical="center" wrapText="1"/>
    </xf>
    <xf numFmtId="0" fontId="47" fillId="18" borderId="52" xfId="10" applyFont="1" applyFill="1" applyBorder="1" applyAlignment="1" applyProtection="1">
      <alignment horizontal="center" vertical="center" wrapText="1"/>
    </xf>
    <xf numFmtId="0" fontId="47" fillId="0" borderId="72" xfId="10" applyFont="1" applyFill="1" applyBorder="1" applyAlignment="1" applyProtection="1">
      <alignment horizontal="center" vertical="center" wrapText="1"/>
    </xf>
    <xf numFmtId="0" fontId="47" fillId="0" borderId="71" xfId="10" applyFont="1" applyFill="1" applyBorder="1" applyAlignment="1">
      <alignment horizontal="center" vertical="center" wrapText="1"/>
    </xf>
    <xf numFmtId="0" fontId="46" fillId="0" borderId="0" xfId="10" applyFont="1" applyFill="1" applyAlignment="1" applyProtection="1">
      <alignment horizontal="center" vertical="center" wrapText="1"/>
    </xf>
    <xf numFmtId="168" fontId="51" fillId="0" borderId="46" xfId="11" applyNumberFormat="1" applyFont="1" applyFill="1" applyBorder="1" applyAlignment="1" applyProtection="1">
      <alignment horizontal="justify" vertical="center" wrapText="1"/>
    </xf>
    <xf numFmtId="168" fontId="51" fillId="0" borderId="46" xfId="11" applyNumberFormat="1" applyFont="1" applyFill="1" applyBorder="1" applyAlignment="1" applyProtection="1">
      <alignment horizontal="justify" vertical="center" wrapText="1"/>
      <protection locked="0"/>
    </xf>
    <xf numFmtId="168" fontId="51" fillId="0" borderId="46" xfId="11" applyNumberFormat="1" applyFont="1" applyFill="1" applyBorder="1" applyAlignment="1" applyProtection="1">
      <alignment horizontal="center" vertical="center" wrapText="1"/>
      <protection locked="0"/>
    </xf>
    <xf numFmtId="169" fontId="52" fillId="0" borderId="46" xfId="11" applyNumberFormat="1" applyFont="1" applyFill="1" applyBorder="1" applyAlignment="1" applyProtection="1">
      <alignment horizontal="center" vertical="center" wrapText="1"/>
      <protection locked="0"/>
    </xf>
    <xf numFmtId="169" fontId="3" fillId="0" borderId="46" xfId="11" applyNumberFormat="1" applyFont="1" applyFill="1" applyBorder="1" applyAlignment="1" applyProtection="1">
      <alignment horizontal="center" vertical="center" wrapText="1"/>
      <protection locked="0"/>
    </xf>
    <xf numFmtId="169" fontId="18" fillId="3" borderId="46" xfId="11" applyNumberFormat="1" applyFont="1" applyFill="1" applyBorder="1" applyAlignment="1" applyProtection="1">
      <alignment horizontal="center" vertical="center" wrapText="1"/>
      <protection locked="0"/>
    </xf>
    <xf numFmtId="1" fontId="52" fillId="9" borderId="46" xfId="11" applyNumberFormat="1" applyFont="1" applyFill="1" applyBorder="1" applyAlignment="1" applyProtection="1">
      <alignment horizontal="center" vertical="center" wrapText="1"/>
      <protection locked="0"/>
    </xf>
    <xf numFmtId="49" fontId="51" fillId="18" borderId="44" xfId="11" applyNumberFormat="1" applyFont="1" applyFill="1" applyBorder="1" applyAlignment="1" applyProtection="1">
      <alignment horizontal="center" vertical="center" wrapText="1"/>
      <protection locked="0"/>
    </xf>
    <xf numFmtId="169" fontId="51" fillId="0" borderId="44" xfId="11" applyNumberFormat="1" applyFont="1" applyFill="1" applyBorder="1" applyAlignment="1" applyProtection="1">
      <alignment horizontal="center" vertical="center" wrapText="1"/>
      <protection locked="0"/>
    </xf>
    <xf numFmtId="0" fontId="51" fillId="0" borderId="46" xfId="11" applyFont="1" applyFill="1" applyBorder="1" applyAlignment="1" applyProtection="1">
      <alignment horizontal="justify" vertical="center" wrapText="1"/>
      <protection locked="0"/>
    </xf>
    <xf numFmtId="0" fontId="51" fillId="0" borderId="46" xfId="10" applyFont="1" applyFill="1" applyBorder="1" applyAlignment="1" applyProtection="1">
      <alignment horizontal="center" vertical="center" wrapText="1"/>
      <protection locked="0"/>
    </xf>
    <xf numFmtId="0" fontId="51" fillId="0" borderId="46" xfId="11" applyFont="1" applyFill="1" applyBorder="1" applyAlignment="1" applyProtection="1">
      <alignment horizontal="center" vertical="center" wrapText="1"/>
      <protection locked="0"/>
    </xf>
    <xf numFmtId="0" fontId="51" fillId="0" borderId="46" xfId="11" applyFont="1" applyFill="1" applyBorder="1" applyAlignment="1" applyProtection="1">
      <alignment horizontal="center" vertical="center" wrapText="1"/>
    </xf>
    <xf numFmtId="0" fontId="46" fillId="0" borderId="46" xfId="10" applyFont="1" applyFill="1" applyBorder="1" applyAlignment="1" applyProtection="1">
      <alignment horizontal="center" vertical="center" wrapText="1"/>
    </xf>
    <xf numFmtId="0" fontId="46" fillId="0" borderId="56" xfId="10" applyFont="1" applyFill="1" applyBorder="1" applyAlignment="1" applyProtection="1">
      <alignment horizontal="center" vertical="center" wrapText="1"/>
    </xf>
    <xf numFmtId="0" fontId="46" fillId="0" borderId="15" xfId="10" applyFont="1" applyFill="1" applyBorder="1" applyAlignment="1" applyProtection="1">
      <alignment horizontal="center" vertical="center" wrapText="1"/>
    </xf>
    <xf numFmtId="0" fontId="51" fillId="0" borderId="15" xfId="10" applyFont="1" applyFill="1" applyBorder="1" applyAlignment="1" applyProtection="1">
      <alignment horizontal="justify" vertical="center" wrapText="1"/>
      <protection locked="0"/>
    </xf>
    <xf numFmtId="0" fontId="51" fillId="0" borderId="15" xfId="10" applyFont="1" applyFill="1" applyBorder="1" applyAlignment="1" applyProtection="1">
      <alignment horizontal="center" vertical="center" wrapText="1"/>
      <protection locked="0"/>
    </xf>
    <xf numFmtId="168" fontId="51" fillId="0" borderId="15" xfId="11" applyNumberFormat="1" applyFont="1" applyFill="1" applyBorder="1" applyAlignment="1" applyProtection="1">
      <alignment horizontal="center" vertical="center" wrapText="1"/>
      <protection locked="0"/>
    </xf>
    <xf numFmtId="170" fontId="51" fillId="0" borderId="15" xfId="10" applyNumberFormat="1" applyFont="1" applyFill="1" applyBorder="1" applyAlignment="1" applyProtection="1">
      <alignment horizontal="center" vertical="center" wrapText="1"/>
      <protection locked="0"/>
    </xf>
    <xf numFmtId="170" fontId="52" fillId="0" borderId="15" xfId="13" applyNumberFormat="1" applyFont="1" applyFill="1" applyBorder="1" applyAlignment="1" applyProtection="1">
      <alignment horizontal="center" vertical="center" wrapText="1"/>
      <protection locked="0"/>
    </xf>
    <xf numFmtId="170" fontId="3" fillId="0" borderId="15" xfId="13" applyNumberFormat="1" applyFont="1" applyFill="1" applyBorder="1" applyAlignment="1" applyProtection="1">
      <alignment horizontal="center" vertical="center" wrapText="1"/>
      <protection locked="0"/>
    </xf>
    <xf numFmtId="170" fontId="18" fillId="3" borderId="15" xfId="10" applyNumberFormat="1" applyFont="1" applyFill="1" applyBorder="1" applyAlignment="1" applyProtection="1">
      <alignment horizontal="center" vertical="center" wrapText="1"/>
      <protection locked="0"/>
    </xf>
    <xf numFmtId="169" fontId="51" fillId="21" borderId="15" xfId="11" applyNumberFormat="1" applyFont="1" applyFill="1" applyBorder="1" applyAlignment="1" applyProtection="1">
      <alignment horizontal="center" vertical="center" wrapText="1"/>
      <protection locked="0"/>
    </xf>
    <xf numFmtId="1" fontId="52" fillId="9" borderId="15" xfId="13" applyNumberFormat="1" applyFont="1" applyFill="1" applyBorder="1" applyAlignment="1" applyProtection="1">
      <alignment horizontal="center" vertical="center" wrapText="1"/>
      <protection locked="0"/>
    </xf>
    <xf numFmtId="1" fontId="51" fillId="9" borderId="15" xfId="10" applyNumberFormat="1" applyFont="1" applyFill="1" applyBorder="1" applyAlignment="1" applyProtection="1">
      <alignment horizontal="center" vertical="center" wrapText="1"/>
      <protection locked="0"/>
    </xf>
    <xf numFmtId="1" fontId="3" fillId="9" borderId="15" xfId="13" applyNumberFormat="1" applyFont="1" applyFill="1" applyBorder="1" applyAlignment="1" applyProtection="1">
      <alignment horizontal="center" vertical="center" wrapText="1"/>
      <protection locked="0"/>
    </xf>
    <xf numFmtId="170" fontId="51" fillId="0" borderId="30" xfId="10" applyNumberFormat="1" applyFont="1" applyFill="1" applyBorder="1" applyAlignment="1" applyProtection="1">
      <alignment horizontal="center" vertical="center" wrapText="1"/>
      <protection locked="0"/>
    </xf>
    <xf numFmtId="0" fontId="51" fillId="0" borderId="15" xfId="11" applyFont="1" applyFill="1" applyBorder="1" applyAlignment="1" applyProtection="1">
      <alignment horizontal="justify" vertical="center" wrapText="1"/>
      <protection locked="0"/>
    </xf>
    <xf numFmtId="0" fontId="51" fillId="0" borderId="15" xfId="11" applyFont="1" applyFill="1" applyBorder="1" applyAlignment="1" applyProtection="1">
      <alignment horizontal="center" vertical="center" wrapText="1"/>
      <protection locked="0"/>
    </xf>
    <xf numFmtId="0" fontId="51" fillId="0" borderId="15" xfId="11" applyFont="1" applyFill="1" applyBorder="1" applyAlignment="1" applyProtection="1">
      <alignment horizontal="center" vertical="center" wrapText="1"/>
    </xf>
    <xf numFmtId="0" fontId="46" fillId="0" borderId="34" xfId="10" applyFont="1" applyFill="1" applyBorder="1" applyAlignment="1" applyProtection="1">
      <alignment horizontal="center" vertical="center" wrapText="1"/>
    </xf>
    <xf numFmtId="0" fontId="51" fillId="0" borderId="20" xfId="10" applyFont="1" applyFill="1" applyBorder="1" applyAlignment="1" applyProtection="1">
      <alignment horizontal="justify" vertical="center" wrapText="1"/>
      <protection locked="0"/>
    </xf>
    <xf numFmtId="0" fontId="51" fillId="0" borderId="20" xfId="10" applyFont="1" applyFill="1" applyBorder="1" applyAlignment="1" applyProtection="1">
      <alignment horizontal="center" vertical="center" wrapText="1"/>
      <protection locked="0"/>
    </xf>
    <xf numFmtId="0" fontId="3" fillId="0" borderId="20" xfId="13" applyFont="1" applyFill="1" applyBorder="1" applyAlignment="1" applyProtection="1">
      <alignment horizontal="center" vertical="center" wrapText="1"/>
      <protection locked="0"/>
    </xf>
    <xf numFmtId="169" fontId="51" fillId="21" borderId="15" xfId="13" applyNumberFormat="1" applyFont="1" applyFill="1" applyBorder="1" applyAlignment="1" applyProtection="1">
      <alignment horizontal="center" vertical="center" wrapText="1"/>
      <protection locked="0"/>
    </xf>
    <xf numFmtId="0" fontId="3" fillId="0" borderId="15" xfId="13" applyFont="1" applyFill="1" applyBorder="1" applyAlignment="1" applyProtection="1">
      <alignment horizontal="center" vertical="center" wrapText="1"/>
      <protection locked="0"/>
    </xf>
    <xf numFmtId="0" fontId="51" fillId="0" borderId="63" xfId="10" applyFont="1" applyFill="1" applyBorder="1" applyAlignment="1" applyProtection="1">
      <alignment horizontal="center" vertical="center" wrapText="1"/>
      <protection locked="0"/>
    </xf>
    <xf numFmtId="9" fontId="51" fillId="0" borderId="63" xfId="10" applyNumberFormat="1" applyFont="1" applyFill="1" applyBorder="1" applyAlignment="1" applyProtection="1">
      <alignment horizontal="center" vertical="center" wrapText="1"/>
      <protection locked="0"/>
    </xf>
    <xf numFmtId="0" fontId="51" fillId="0" borderId="20" xfId="11" applyFont="1" applyFill="1" applyBorder="1" applyAlignment="1" applyProtection="1">
      <alignment horizontal="justify" vertical="center" wrapText="1"/>
      <protection locked="0"/>
    </xf>
    <xf numFmtId="0" fontId="51" fillId="0" borderId="20" xfId="11" applyFont="1" applyFill="1" applyBorder="1" applyAlignment="1" applyProtection="1">
      <alignment horizontal="center" vertical="center" wrapText="1"/>
      <protection locked="0"/>
    </xf>
    <xf numFmtId="0" fontId="51" fillId="0" borderId="20" xfId="11" applyFont="1" applyFill="1" applyBorder="1" applyAlignment="1" applyProtection="1">
      <alignment horizontal="center" vertical="center" wrapText="1"/>
    </xf>
    <xf numFmtId="0" fontId="46" fillId="0" borderId="20" xfId="10" applyFont="1" applyFill="1" applyBorder="1" applyAlignment="1" applyProtection="1">
      <alignment horizontal="center" vertical="center" wrapText="1"/>
    </xf>
    <xf numFmtId="0" fontId="46" fillId="0" borderId="62" xfId="10" applyFont="1" applyFill="1" applyBorder="1" applyAlignment="1" applyProtection="1">
      <alignment horizontal="center" vertical="center" wrapText="1"/>
    </xf>
    <xf numFmtId="171" fontId="51" fillId="0" borderId="46" xfId="10" applyNumberFormat="1" applyFont="1" applyFill="1" applyBorder="1" applyAlignment="1" applyProtection="1">
      <alignment horizontal="center" vertical="center" wrapText="1"/>
      <protection locked="0"/>
    </xf>
    <xf numFmtId="3" fontId="51" fillId="21" borderId="15" xfId="13" applyNumberFormat="1" applyFont="1" applyFill="1" applyBorder="1" applyAlignment="1" applyProtection="1">
      <alignment horizontal="center" vertical="center" wrapText="1"/>
      <protection locked="0"/>
    </xf>
    <xf numFmtId="171" fontId="3" fillId="0" borderId="15" xfId="13" applyNumberFormat="1" applyFont="1" applyFill="1" applyBorder="1" applyAlignment="1" applyProtection="1">
      <alignment horizontal="center" vertical="center" wrapText="1"/>
      <protection locked="0"/>
    </xf>
    <xf numFmtId="171" fontId="51" fillId="0" borderId="44" xfId="10" applyNumberFormat="1" applyFont="1" applyFill="1" applyBorder="1" applyAlignment="1" applyProtection="1">
      <alignment horizontal="center" vertical="center" wrapText="1"/>
      <protection locked="0"/>
    </xf>
    <xf numFmtId="0" fontId="51" fillId="0" borderId="46" xfId="10" applyFont="1" applyFill="1" applyBorder="1" applyAlignment="1" applyProtection="1">
      <alignment horizontal="center" vertical="center" wrapText="1"/>
    </xf>
    <xf numFmtId="0" fontId="18" fillId="0" borderId="15" xfId="10" applyFont="1" applyFill="1" applyBorder="1" applyAlignment="1">
      <alignment horizontal="justify" vertical="center" wrapText="1"/>
    </xf>
    <xf numFmtId="0" fontId="18" fillId="0" borderId="15" xfId="10" applyFont="1" applyFill="1" applyBorder="1" applyAlignment="1" applyProtection="1">
      <alignment horizontal="justify" vertical="center" wrapText="1"/>
      <protection locked="0"/>
    </xf>
    <xf numFmtId="171" fontId="51" fillId="0" borderId="15" xfId="10" applyNumberFormat="1" applyFont="1" applyFill="1" applyBorder="1" applyAlignment="1" applyProtection="1">
      <alignment horizontal="center" vertical="center" wrapText="1"/>
      <protection locked="0"/>
    </xf>
    <xf numFmtId="171" fontId="52" fillId="0" borderId="15" xfId="13" applyNumberFormat="1" applyFont="1" applyFill="1" applyBorder="1" applyAlignment="1" applyProtection="1">
      <alignment horizontal="center" vertical="center" wrapText="1"/>
      <protection locked="0"/>
    </xf>
    <xf numFmtId="171" fontId="18" fillId="3" borderId="15" xfId="10" applyNumberFormat="1" applyFont="1" applyFill="1" applyBorder="1" applyAlignment="1" applyProtection="1">
      <alignment horizontal="center" vertical="center" wrapText="1"/>
      <protection locked="0"/>
    </xf>
    <xf numFmtId="171" fontId="51" fillId="0" borderId="37" xfId="10" applyNumberFormat="1" applyFont="1" applyFill="1" applyBorder="1" applyAlignment="1" applyProtection="1">
      <alignment horizontal="center" vertical="center" wrapText="1"/>
      <protection locked="0"/>
    </xf>
    <xf numFmtId="0" fontId="51" fillId="0" borderId="15" xfId="10" applyFont="1" applyFill="1" applyBorder="1" applyAlignment="1" applyProtection="1">
      <alignment horizontal="center" vertical="center" wrapText="1"/>
    </xf>
    <xf numFmtId="3" fontId="51" fillId="0" borderId="15" xfId="10" applyNumberFormat="1" applyFont="1" applyFill="1" applyBorder="1" applyAlignment="1" applyProtection="1">
      <alignment horizontal="center" vertical="center" wrapText="1"/>
      <protection locked="0"/>
    </xf>
    <xf numFmtId="3" fontId="52" fillId="0" borderId="15" xfId="13" applyNumberFormat="1" applyFont="1" applyFill="1" applyBorder="1" applyAlignment="1" applyProtection="1">
      <alignment horizontal="center" vertical="center" wrapText="1"/>
      <protection locked="0"/>
    </xf>
    <xf numFmtId="3" fontId="3" fillId="0" borderId="15" xfId="13" applyNumberFormat="1" applyFont="1" applyFill="1" applyBorder="1" applyAlignment="1" applyProtection="1">
      <alignment horizontal="center" vertical="center" wrapText="1"/>
      <protection locked="0"/>
    </xf>
    <xf numFmtId="3" fontId="18" fillId="3" borderId="15" xfId="10" applyNumberFormat="1" applyFont="1" applyFill="1" applyBorder="1" applyAlignment="1" applyProtection="1">
      <alignment horizontal="center" vertical="center" wrapText="1"/>
      <protection locked="0"/>
    </xf>
    <xf numFmtId="0" fontId="18" fillId="21" borderId="15" xfId="13" applyFont="1" applyFill="1" applyBorder="1" applyAlignment="1" applyProtection="1">
      <alignment horizontal="center" vertical="center" wrapText="1"/>
    </xf>
    <xf numFmtId="3" fontId="51" fillId="0" borderId="37" xfId="10" applyNumberFormat="1" applyFont="1" applyFill="1" applyBorder="1" applyAlignment="1" applyProtection="1">
      <alignment horizontal="center" vertical="center" wrapText="1"/>
      <protection locked="0"/>
    </xf>
    <xf numFmtId="0" fontId="51" fillId="0" borderId="15" xfId="10" applyFont="1" applyFill="1" applyBorder="1" applyAlignment="1">
      <alignment horizontal="center" vertical="center" wrapText="1"/>
    </xf>
    <xf numFmtId="0" fontId="18" fillId="0" borderId="15" xfId="10" applyFont="1" applyFill="1" applyBorder="1" applyAlignment="1" applyProtection="1">
      <alignment horizontal="justify" vertical="center" wrapText="1"/>
    </xf>
    <xf numFmtId="168" fontId="51" fillId="0" borderId="15" xfId="10" applyNumberFormat="1" applyFont="1" applyFill="1" applyBorder="1" applyAlignment="1" applyProtection="1">
      <alignment horizontal="center" vertical="center" wrapText="1"/>
      <protection locked="0"/>
    </xf>
    <xf numFmtId="169" fontId="51" fillId="0" borderId="15" xfId="10" applyNumberFormat="1" applyFont="1" applyFill="1" applyBorder="1" applyAlignment="1" applyProtection="1">
      <alignment horizontal="center" vertical="center" wrapText="1"/>
    </xf>
    <xf numFmtId="169" fontId="51" fillId="0" borderId="15" xfId="10" applyNumberFormat="1" applyFont="1" applyFill="1" applyBorder="1" applyAlignment="1" applyProtection="1">
      <alignment horizontal="center" vertical="center" wrapText="1"/>
      <protection locked="0"/>
    </xf>
    <xf numFmtId="169" fontId="52" fillId="0" borderId="15" xfId="13" applyNumberFormat="1" applyFont="1" applyFill="1" applyBorder="1" applyAlignment="1" applyProtection="1">
      <alignment horizontal="center" vertical="center" wrapText="1"/>
      <protection locked="0"/>
    </xf>
    <xf numFmtId="169" fontId="3" fillId="0" borderId="15" xfId="13" applyNumberFormat="1" applyFont="1" applyFill="1" applyBorder="1" applyAlignment="1" applyProtection="1">
      <alignment horizontal="center" vertical="center" wrapText="1"/>
      <protection locked="0"/>
    </xf>
    <xf numFmtId="169" fontId="18" fillId="3" borderId="15" xfId="10" applyNumberFormat="1" applyFont="1" applyFill="1" applyBorder="1" applyAlignment="1" applyProtection="1">
      <alignment horizontal="center" vertical="center" wrapText="1"/>
      <protection locked="0"/>
    </xf>
    <xf numFmtId="9" fontId="18" fillId="21" borderId="15" xfId="13" applyNumberFormat="1" applyFont="1" applyFill="1" applyBorder="1" applyAlignment="1" applyProtection="1">
      <alignment horizontal="center" vertical="center" wrapText="1"/>
      <protection locked="0"/>
    </xf>
    <xf numFmtId="169" fontId="51" fillId="0" borderId="37" xfId="10" applyNumberFormat="1" applyFont="1" applyFill="1" applyBorder="1" applyAlignment="1" applyProtection="1">
      <alignment horizontal="center" vertical="center" wrapText="1"/>
      <protection locked="0"/>
    </xf>
    <xf numFmtId="9" fontId="51" fillId="0" borderId="15" xfId="14" applyFont="1" applyFill="1" applyBorder="1" applyAlignment="1" applyProtection="1">
      <alignment horizontal="center" vertical="center" wrapText="1"/>
      <protection locked="0"/>
    </xf>
    <xf numFmtId="169" fontId="3" fillId="0" borderId="15" xfId="13" applyNumberFormat="1" applyFont="1" applyFill="1" applyBorder="1" applyAlignment="1" applyProtection="1">
      <alignment horizontal="center" vertical="center" wrapText="1"/>
    </xf>
    <xf numFmtId="169" fontId="18" fillId="3" borderId="15" xfId="10" applyNumberFormat="1" applyFont="1" applyFill="1" applyBorder="1" applyAlignment="1" applyProtection="1">
      <alignment horizontal="center" vertical="center" wrapText="1"/>
    </xf>
    <xf numFmtId="1" fontId="3" fillId="9" borderId="15" xfId="13" applyNumberFormat="1" applyFont="1" applyFill="1" applyBorder="1" applyAlignment="1" applyProtection="1">
      <alignment horizontal="center" vertical="center" wrapText="1"/>
    </xf>
    <xf numFmtId="169" fontId="3" fillId="0" borderId="20" xfId="13" applyNumberFormat="1" applyFont="1" applyFill="1" applyBorder="1" applyAlignment="1" applyProtection="1">
      <alignment horizontal="center" vertical="center" wrapText="1"/>
    </xf>
    <xf numFmtId="169" fontId="51" fillId="0" borderId="63" xfId="10" applyNumberFormat="1" applyFont="1" applyFill="1" applyBorder="1" applyAlignment="1" applyProtection="1">
      <alignment horizontal="center" vertical="center" wrapText="1"/>
    </xf>
    <xf numFmtId="0" fontId="18" fillId="0" borderId="15" xfId="11" applyFont="1" applyFill="1" applyBorder="1" applyAlignment="1" applyProtection="1">
      <alignment horizontal="justify" vertical="center" wrapText="1"/>
    </xf>
    <xf numFmtId="0" fontId="18" fillId="0" borderId="15" xfId="11" applyFont="1" applyFill="1" applyBorder="1" applyAlignment="1" applyProtection="1">
      <alignment horizontal="justify" vertical="center" wrapText="1"/>
      <protection locked="0"/>
    </xf>
    <xf numFmtId="168" fontId="52" fillId="0" borderId="15" xfId="11" applyNumberFormat="1" applyFont="1" applyFill="1" applyBorder="1" applyAlignment="1" applyProtection="1">
      <alignment horizontal="center" vertical="center" wrapText="1"/>
      <protection locked="0"/>
    </xf>
    <xf numFmtId="168" fontId="3" fillId="0" borderId="15" xfId="11" applyNumberFormat="1" applyFont="1" applyFill="1" applyBorder="1" applyAlignment="1" applyProtection="1">
      <alignment horizontal="center" vertical="center" wrapText="1"/>
      <protection locked="0"/>
    </xf>
    <xf numFmtId="169" fontId="18" fillId="3" borderId="15" xfId="11" applyNumberFormat="1" applyFont="1" applyFill="1" applyBorder="1" applyAlignment="1" applyProtection="1">
      <alignment horizontal="center" vertical="center" wrapText="1"/>
      <protection locked="0"/>
    </xf>
    <xf numFmtId="1" fontId="52" fillId="9" borderId="15" xfId="11" applyNumberFormat="1" applyFont="1" applyFill="1" applyBorder="1" applyAlignment="1" applyProtection="1">
      <alignment horizontal="center" vertical="center" wrapText="1"/>
      <protection locked="0"/>
    </xf>
    <xf numFmtId="168" fontId="3" fillId="16" borderId="15" xfId="11" applyNumberFormat="1" applyFont="1" applyFill="1" applyBorder="1" applyAlignment="1" applyProtection="1">
      <alignment horizontal="center" vertical="center" wrapText="1"/>
      <protection locked="0"/>
    </xf>
    <xf numFmtId="168" fontId="3" fillId="17" borderId="15" xfId="11" applyNumberFormat="1" applyFont="1" applyFill="1" applyBorder="1" applyAlignment="1" applyProtection="1">
      <alignment horizontal="center" vertical="center" wrapText="1"/>
      <protection locked="0"/>
    </xf>
    <xf numFmtId="49" fontId="51" fillId="17" borderId="15" xfId="12" applyNumberFormat="1" applyFont="1" applyFill="1" applyBorder="1" applyAlignment="1" applyProtection="1">
      <alignment horizontal="center" vertical="center" wrapText="1"/>
      <protection locked="0"/>
    </xf>
    <xf numFmtId="49" fontId="51" fillId="18" borderId="37" xfId="11" applyNumberFormat="1" applyFont="1" applyFill="1" applyBorder="1" applyAlignment="1" applyProtection="1">
      <alignment horizontal="center" vertical="center" wrapText="1"/>
      <protection locked="0"/>
    </xf>
    <xf numFmtId="168" fontId="51" fillId="0" borderId="37" xfId="11" applyNumberFormat="1" applyFont="1" applyFill="1" applyBorder="1" applyAlignment="1" applyProtection="1">
      <alignment horizontal="center" vertical="center" wrapText="1"/>
      <protection locked="0"/>
    </xf>
    <xf numFmtId="3" fontId="51" fillId="3" borderId="15" xfId="10" applyNumberFormat="1" applyFont="1" applyFill="1" applyBorder="1" applyAlignment="1" applyProtection="1">
      <alignment horizontal="center" vertical="center" wrapText="1"/>
      <protection locked="0"/>
    </xf>
    <xf numFmtId="3" fontId="51" fillId="0" borderId="30" xfId="10" applyNumberFormat="1" applyFont="1" applyFill="1" applyBorder="1" applyAlignment="1" applyProtection="1">
      <alignment horizontal="center" vertical="center" wrapText="1"/>
      <protection locked="0"/>
    </xf>
    <xf numFmtId="169" fontId="3" fillId="0" borderId="20" xfId="13" applyNumberFormat="1" applyFont="1" applyFill="1" applyBorder="1" applyAlignment="1" applyProtection="1">
      <alignment horizontal="center" vertical="center" wrapText="1"/>
      <protection locked="0"/>
    </xf>
    <xf numFmtId="9" fontId="51" fillId="0" borderId="20" xfId="10" applyNumberFormat="1" applyFont="1" applyFill="1" applyBorder="1" applyAlignment="1" applyProtection="1">
      <alignment horizontal="center" vertical="center" wrapText="1"/>
      <protection locked="0"/>
    </xf>
    <xf numFmtId="0" fontId="3" fillId="0" borderId="20" xfId="13" applyFont="1" applyFill="1" applyBorder="1" applyAlignment="1" applyProtection="1">
      <alignment horizontal="center" vertical="center" wrapText="1"/>
    </xf>
    <xf numFmtId="3" fontId="51" fillId="0" borderId="46" xfId="10" applyNumberFormat="1" applyFont="1" applyFill="1" applyBorder="1" applyAlignment="1" applyProtection="1">
      <alignment horizontal="center" vertical="center" wrapText="1"/>
      <protection locked="0"/>
    </xf>
    <xf numFmtId="3" fontId="51" fillId="0" borderId="44" xfId="10" applyNumberFormat="1" applyFont="1" applyFill="1" applyBorder="1" applyAlignment="1" applyProtection="1">
      <alignment horizontal="center" vertical="center" wrapText="1"/>
      <protection locked="0"/>
    </xf>
    <xf numFmtId="0" fontId="51" fillId="0" borderId="46" xfId="10" applyFont="1" applyFill="1" applyBorder="1" applyAlignment="1">
      <alignment horizontal="center" vertical="center" wrapText="1"/>
    </xf>
    <xf numFmtId="171" fontId="51" fillId="3" borderId="15" xfId="10" applyNumberFormat="1" applyFont="1" applyFill="1" applyBorder="1" applyAlignment="1" applyProtection="1">
      <alignment horizontal="center" vertical="center" wrapText="1"/>
      <protection locked="0"/>
    </xf>
    <xf numFmtId="9" fontId="52" fillId="0" borderId="15" xfId="14" applyFont="1" applyFill="1" applyBorder="1" applyAlignment="1" applyProtection="1">
      <alignment horizontal="center" vertical="center" wrapText="1"/>
      <protection locked="0"/>
    </xf>
    <xf numFmtId="9" fontId="3" fillId="0" borderId="15" xfId="14" applyFont="1" applyFill="1" applyBorder="1" applyAlignment="1" applyProtection="1">
      <alignment horizontal="center" vertical="center" wrapText="1"/>
      <protection locked="0"/>
    </xf>
    <xf numFmtId="9" fontId="18" fillId="3" borderId="15" xfId="14" applyFont="1" applyFill="1" applyBorder="1" applyAlignment="1" applyProtection="1">
      <alignment horizontal="center" vertical="center" wrapText="1"/>
      <protection locked="0"/>
    </xf>
    <xf numFmtId="1" fontId="52" fillId="9" borderId="15" xfId="14" applyNumberFormat="1" applyFont="1" applyFill="1" applyBorder="1" applyAlignment="1" applyProtection="1">
      <alignment horizontal="center" vertical="center" wrapText="1"/>
      <protection locked="0"/>
    </xf>
    <xf numFmtId="1" fontId="3" fillId="9" borderId="15" xfId="14" applyNumberFormat="1" applyFont="1" applyFill="1" applyBorder="1" applyAlignment="1" applyProtection="1">
      <alignment horizontal="center" vertical="center" wrapText="1"/>
      <protection locked="0"/>
    </xf>
    <xf numFmtId="9" fontId="51" fillId="0" borderId="37" xfId="14" applyFont="1" applyFill="1" applyBorder="1" applyAlignment="1" applyProtection="1">
      <alignment horizontal="center" vertical="center" wrapText="1"/>
      <protection locked="0"/>
    </xf>
    <xf numFmtId="172" fontId="51" fillId="0" borderId="15" xfId="10" applyNumberFormat="1" applyFont="1" applyFill="1" applyBorder="1" applyAlignment="1" applyProtection="1">
      <alignment horizontal="center" vertical="center" wrapText="1"/>
      <protection locked="0"/>
    </xf>
    <xf numFmtId="3" fontId="51" fillId="3" borderId="15" xfId="10" applyNumberFormat="1" applyFont="1" applyFill="1" applyBorder="1" applyAlignment="1" applyProtection="1">
      <alignment horizontal="center" vertical="center" wrapText="1"/>
    </xf>
    <xf numFmtId="169" fontId="51" fillId="0" borderId="63" xfId="10" applyNumberFormat="1" applyFont="1" applyFill="1" applyBorder="1" applyAlignment="1" applyProtection="1">
      <alignment horizontal="center" vertical="center" wrapText="1"/>
      <protection locked="0"/>
    </xf>
    <xf numFmtId="169" fontId="3" fillId="16" borderId="15" xfId="13" applyNumberFormat="1" applyFont="1" applyFill="1" applyBorder="1" applyAlignment="1" applyProtection="1">
      <alignment horizontal="center" vertical="center" wrapText="1"/>
      <protection locked="0"/>
    </xf>
    <xf numFmtId="169" fontId="3" fillId="17" borderId="15" xfId="13" applyNumberFormat="1" applyFont="1" applyFill="1" applyBorder="1" applyAlignment="1" applyProtection="1">
      <alignment horizontal="center" vertical="center" wrapText="1"/>
      <protection locked="0"/>
    </xf>
    <xf numFmtId="49" fontId="51" fillId="18" borderId="37" xfId="10" applyNumberFormat="1" applyFont="1" applyFill="1" applyBorder="1" applyAlignment="1" applyProtection="1">
      <alignment horizontal="center" vertical="center" wrapText="1"/>
      <protection locked="0"/>
    </xf>
    <xf numFmtId="3" fontId="3" fillId="9" borderId="15" xfId="13" applyNumberFormat="1" applyFont="1" applyFill="1" applyBorder="1" applyAlignment="1" applyProtection="1">
      <alignment horizontal="center" vertical="center" wrapText="1"/>
      <protection locked="0"/>
    </xf>
    <xf numFmtId="3" fontId="3" fillId="16" borderId="15" xfId="13" applyNumberFormat="1" applyFont="1" applyFill="1" applyBorder="1" applyAlignment="1" applyProtection="1">
      <alignment horizontal="center" vertical="center" wrapText="1"/>
      <protection locked="0"/>
    </xf>
    <xf numFmtId="3" fontId="3" fillId="17" borderId="15" xfId="13" applyNumberFormat="1" applyFont="1" applyFill="1" applyBorder="1" applyAlignment="1" applyProtection="1">
      <alignment horizontal="center" vertical="center" wrapText="1"/>
      <protection locked="0"/>
    </xf>
    <xf numFmtId="49" fontId="51" fillId="18" borderId="9" xfId="10" applyNumberFormat="1" applyFont="1" applyFill="1" applyBorder="1" applyAlignment="1" applyProtection="1">
      <alignment horizontal="center" vertical="center" wrapText="1"/>
      <protection locked="0"/>
    </xf>
    <xf numFmtId="0" fontId="18" fillId="3" borderId="15" xfId="10" applyFont="1" applyFill="1" applyBorder="1" applyAlignment="1" applyProtection="1">
      <alignment horizontal="justify" vertical="center" wrapText="1"/>
      <protection locked="0"/>
    </xf>
    <xf numFmtId="9" fontId="51" fillId="0" borderId="13" xfId="10" applyNumberFormat="1" applyFont="1" applyFill="1" applyBorder="1" applyAlignment="1" applyProtection="1">
      <alignment horizontal="center" vertical="center" wrapText="1"/>
      <protection locked="0"/>
    </xf>
    <xf numFmtId="9" fontId="51" fillId="0" borderId="15" xfId="10" applyNumberFormat="1" applyFont="1" applyFill="1" applyBorder="1" applyAlignment="1" applyProtection="1">
      <alignment horizontal="center" vertical="center" wrapText="1"/>
      <protection locked="0"/>
    </xf>
    <xf numFmtId="0" fontId="51" fillId="3" borderId="15" xfId="10" applyFont="1" applyFill="1" applyBorder="1" applyAlignment="1" applyProtection="1">
      <alignment horizontal="center" vertical="center" wrapText="1"/>
      <protection locked="0"/>
    </xf>
    <xf numFmtId="0" fontId="18" fillId="3" borderId="15" xfId="10" applyFont="1" applyFill="1" applyBorder="1" applyAlignment="1" applyProtection="1">
      <alignment horizontal="center" vertical="center" wrapText="1"/>
      <protection locked="0"/>
    </xf>
    <xf numFmtId="3" fontId="51" fillId="0" borderId="20" xfId="10" applyNumberFormat="1" applyFont="1" applyFill="1" applyBorder="1" applyAlignment="1" applyProtection="1">
      <alignment horizontal="center" vertical="center" wrapText="1"/>
      <protection locked="0"/>
    </xf>
    <xf numFmtId="0" fontId="51" fillId="0" borderId="20" xfId="10" applyFont="1" applyFill="1" applyBorder="1" applyAlignment="1" applyProtection="1">
      <alignment horizontal="center" vertical="center" wrapText="1"/>
    </xf>
    <xf numFmtId="0" fontId="18" fillId="0" borderId="46" xfId="10" applyFont="1" applyFill="1" applyBorder="1" applyAlignment="1" applyProtection="1">
      <alignment horizontal="center" vertical="center" wrapText="1"/>
      <protection locked="0"/>
    </xf>
    <xf numFmtId="3" fontId="18" fillId="0" borderId="46" xfId="10" applyNumberFormat="1" applyFont="1" applyFill="1" applyBorder="1" applyAlignment="1" applyProtection="1">
      <alignment horizontal="center" vertical="center" wrapText="1"/>
      <protection locked="0"/>
    </xf>
    <xf numFmtId="0" fontId="18" fillId="0" borderId="46" xfId="11" applyFont="1" applyFill="1" applyBorder="1" applyAlignment="1" applyProtection="1">
      <alignment horizontal="justify" vertical="center" wrapText="1"/>
      <protection locked="0"/>
    </xf>
    <xf numFmtId="0" fontId="18" fillId="0" borderId="46" xfId="11" applyFont="1" applyFill="1" applyBorder="1" applyAlignment="1" applyProtection="1">
      <alignment horizontal="center" vertical="center" wrapText="1"/>
      <protection locked="0"/>
    </xf>
    <xf numFmtId="0" fontId="18" fillId="0" borderId="46" xfId="10" applyFont="1" applyFill="1" applyBorder="1" applyAlignment="1">
      <alignment horizontal="center" vertical="center" wrapText="1"/>
    </xf>
    <xf numFmtId="0" fontId="18" fillId="0" borderId="15" xfId="10" applyFont="1" applyFill="1" applyBorder="1" applyAlignment="1" applyProtection="1">
      <alignment horizontal="center" vertical="center" wrapText="1"/>
      <protection locked="0"/>
    </xf>
    <xf numFmtId="168" fontId="18" fillId="0" borderId="15" xfId="11" applyNumberFormat="1" applyFont="1" applyFill="1" applyBorder="1" applyAlignment="1" applyProtection="1">
      <alignment horizontal="center" vertical="center" wrapText="1"/>
      <protection locked="0"/>
    </xf>
    <xf numFmtId="3" fontId="18" fillId="0" borderId="15" xfId="10" applyNumberFormat="1" applyFont="1" applyFill="1" applyBorder="1" applyAlignment="1" applyProtection="1">
      <alignment horizontal="center" vertical="center" wrapText="1"/>
      <protection locked="0"/>
    </xf>
    <xf numFmtId="0" fontId="18" fillId="0" borderId="15" xfId="11" applyFont="1" applyFill="1" applyBorder="1" applyAlignment="1" applyProtection="1">
      <alignment horizontal="center" vertical="center" wrapText="1"/>
      <protection locked="0"/>
    </xf>
    <xf numFmtId="0" fontId="18" fillId="0" borderId="15" xfId="10" applyFont="1" applyFill="1" applyBorder="1" applyAlignment="1">
      <alignment horizontal="center" vertical="center" wrapText="1"/>
    </xf>
    <xf numFmtId="170" fontId="18" fillId="0" borderId="15" xfId="10" applyNumberFormat="1" applyFont="1" applyFill="1" applyBorder="1" applyAlignment="1" applyProtection="1">
      <alignment horizontal="center" vertical="center" wrapText="1"/>
      <protection locked="0"/>
    </xf>
    <xf numFmtId="173" fontId="18" fillId="0" borderId="15" xfId="10" applyNumberFormat="1" applyFont="1" applyFill="1" applyBorder="1" applyAlignment="1" applyProtection="1">
      <alignment horizontal="center" vertical="center" wrapText="1"/>
      <protection locked="0"/>
    </xf>
    <xf numFmtId="0" fontId="18" fillId="0" borderId="15" xfId="10" applyFont="1" applyFill="1" applyBorder="1" applyAlignment="1" applyProtection="1">
      <alignment horizontal="center" vertical="center" wrapText="1"/>
    </xf>
    <xf numFmtId="0" fontId="18" fillId="0" borderId="20" xfId="10" applyFont="1" applyFill="1" applyBorder="1" applyAlignment="1" applyProtection="1">
      <alignment horizontal="center" vertical="center" wrapText="1"/>
      <protection locked="0"/>
    </xf>
    <xf numFmtId="9" fontId="18" fillId="0" borderId="20" xfId="10" applyNumberFormat="1" applyFont="1" applyFill="1" applyBorder="1" applyAlignment="1" applyProtection="1">
      <alignment horizontal="center" vertical="center" wrapText="1"/>
      <protection locked="0"/>
    </xf>
    <xf numFmtId="9" fontId="3" fillId="0" borderId="15" xfId="13" applyNumberFormat="1" applyFont="1" applyFill="1" applyBorder="1" applyAlignment="1" applyProtection="1">
      <alignment horizontal="center" vertical="center" wrapText="1"/>
      <protection locked="0"/>
    </xf>
    <xf numFmtId="0" fontId="18" fillId="0" borderId="20" xfId="11" applyFont="1" applyFill="1" applyBorder="1" applyAlignment="1" applyProtection="1">
      <alignment horizontal="justify" vertical="center" wrapText="1"/>
      <protection locked="0"/>
    </xf>
    <xf numFmtId="0" fontId="18" fillId="0" borderId="20" xfId="10" applyFont="1" applyFill="1" applyBorder="1" applyAlignment="1" applyProtection="1">
      <alignment horizontal="center" vertical="center" wrapText="1"/>
    </xf>
    <xf numFmtId="9" fontId="51" fillId="0" borderId="46" xfId="14" applyFont="1" applyFill="1" applyBorder="1" applyAlignment="1" applyProtection="1">
      <alignment horizontal="center" vertical="center" wrapText="1"/>
      <protection locked="0"/>
    </xf>
    <xf numFmtId="0" fontId="51" fillId="0" borderId="46" xfId="10" applyFont="1" applyFill="1" applyBorder="1" applyAlignment="1" applyProtection="1">
      <alignment horizontal="justify" vertical="center" wrapText="1"/>
      <protection locked="0"/>
    </xf>
    <xf numFmtId="0" fontId="18" fillId="0" borderId="15" xfId="10" applyFont="1" applyFill="1" applyBorder="1" applyAlignment="1" applyProtection="1">
      <alignment vertical="center" wrapText="1"/>
    </xf>
    <xf numFmtId="9" fontId="18" fillId="3" borderId="15" xfId="10" applyNumberFormat="1" applyFont="1" applyFill="1" applyBorder="1" applyAlignment="1" applyProtection="1">
      <alignment horizontal="center" vertical="center" wrapText="1"/>
      <protection locked="0"/>
    </xf>
    <xf numFmtId="9" fontId="51" fillId="0" borderId="15" xfId="10" applyNumberFormat="1" applyFont="1" applyFill="1" applyBorder="1" applyAlignment="1" applyProtection="1">
      <alignment horizontal="justify" vertical="center" wrapText="1"/>
      <protection locked="0"/>
    </xf>
    <xf numFmtId="9" fontId="51" fillId="9" borderId="15" xfId="12" applyFont="1" applyFill="1" applyBorder="1" applyAlignment="1" applyProtection="1">
      <alignment horizontal="center" vertical="center" wrapText="1"/>
      <protection locked="0"/>
    </xf>
    <xf numFmtId="9" fontId="3" fillId="16" borderId="15" xfId="13" applyNumberFormat="1" applyFont="1" applyFill="1" applyBorder="1" applyAlignment="1" applyProtection="1">
      <alignment horizontal="center" vertical="center" wrapText="1"/>
      <protection locked="0"/>
    </xf>
    <xf numFmtId="9" fontId="3" fillId="17" borderId="15" xfId="13" applyNumberFormat="1" applyFont="1" applyFill="1" applyBorder="1" applyAlignment="1" applyProtection="1">
      <alignment horizontal="center" vertical="center" wrapText="1"/>
      <protection locked="0"/>
    </xf>
    <xf numFmtId="1" fontId="51" fillId="18" borderId="15" xfId="12" applyNumberFormat="1" applyFont="1" applyFill="1" applyBorder="1" applyAlignment="1" applyProtection="1">
      <alignment horizontal="center" vertical="center" wrapText="1"/>
      <protection locked="0"/>
    </xf>
    <xf numFmtId="49" fontId="51" fillId="18" borderId="15" xfId="10" applyNumberFormat="1" applyFont="1" applyFill="1" applyBorder="1" applyAlignment="1" applyProtection="1">
      <alignment horizontal="center" vertical="center" wrapText="1"/>
      <protection locked="0"/>
    </xf>
    <xf numFmtId="0" fontId="3" fillId="0" borderId="0" xfId="10" applyFont="1" applyFill="1" applyAlignment="1" applyProtection="1">
      <alignment wrapText="1"/>
    </xf>
    <xf numFmtId="0" fontId="40" fillId="0" borderId="0" xfId="10" applyFont="1" applyFill="1" applyAlignment="1" applyProtection="1">
      <alignment horizontal="justify" vertical="center" wrapText="1"/>
    </xf>
    <xf numFmtId="0" fontId="40" fillId="0" borderId="0" xfId="10" applyFont="1" applyFill="1" applyAlignment="1" applyProtection="1">
      <alignment horizontal="center" vertical="center" wrapText="1"/>
    </xf>
    <xf numFmtId="0" fontId="3" fillId="0" borderId="0" xfId="10" applyFont="1" applyFill="1" applyAlignment="1" applyProtection="1">
      <alignment horizontal="center" vertical="center" wrapText="1"/>
    </xf>
    <xf numFmtId="0" fontId="46" fillId="0" borderId="0" xfId="10" applyFont="1" applyFill="1" applyAlignment="1" applyProtection="1">
      <alignment horizontal="left" vertical="center" wrapText="1"/>
    </xf>
    <xf numFmtId="9" fontId="55" fillId="0" borderId="0" xfId="10" applyNumberFormat="1" applyFont="1" applyFill="1" applyAlignment="1" applyProtection="1">
      <alignment horizontal="center" vertical="center" wrapText="1"/>
    </xf>
    <xf numFmtId="0" fontId="56" fillId="0" borderId="0" xfId="10" applyFont="1" applyFill="1" applyAlignment="1" applyProtection="1">
      <alignment horizontal="justify" vertical="center" wrapText="1"/>
    </xf>
    <xf numFmtId="0" fontId="56" fillId="0" borderId="0" xfId="10" applyFont="1" applyFill="1" applyAlignment="1" applyProtection="1">
      <alignment horizontal="center" vertical="center" wrapText="1"/>
    </xf>
    <xf numFmtId="0" fontId="56" fillId="0" borderId="0" xfId="10" applyFont="1" applyFill="1" applyBorder="1" applyAlignment="1" applyProtection="1">
      <alignment horizontal="center" vertical="center" wrapText="1"/>
    </xf>
    <xf numFmtId="3" fontId="46" fillId="0" borderId="0" xfId="10" applyNumberFormat="1" applyFont="1" applyFill="1" applyAlignment="1" applyProtection="1">
      <alignment horizontal="center" vertical="center" wrapText="1"/>
    </xf>
    <xf numFmtId="168" fontId="51" fillId="4" borderId="46" xfId="11" applyNumberFormat="1" applyFont="1" applyFill="1" applyBorder="1" applyAlignment="1" applyProtection="1">
      <alignment horizontal="center" vertical="center" wrapText="1"/>
      <protection locked="0"/>
    </xf>
    <xf numFmtId="169" fontId="51" fillId="4" borderId="46" xfId="11" applyNumberFormat="1" applyFont="1" applyFill="1" applyBorder="1" applyAlignment="1" applyProtection="1">
      <alignment horizontal="center" vertical="center" wrapText="1"/>
      <protection locked="0"/>
    </xf>
    <xf numFmtId="168" fontId="51" fillId="4" borderId="15" xfId="11" applyNumberFormat="1" applyFont="1" applyFill="1" applyBorder="1" applyAlignment="1" applyProtection="1">
      <alignment horizontal="center" vertical="center" wrapText="1"/>
      <protection locked="0"/>
    </xf>
    <xf numFmtId="169" fontId="51" fillId="4" borderId="15" xfId="11" applyNumberFormat="1" applyFont="1" applyFill="1" applyBorder="1" applyAlignment="1" applyProtection="1">
      <alignment horizontal="center" vertical="center" wrapText="1"/>
      <protection locked="0"/>
    </xf>
    <xf numFmtId="169" fontId="51" fillId="4" borderId="15" xfId="10" applyNumberFormat="1" applyFont="1" applyFill="1" applyBorder="1" applyAlignment="1" applyProtection="1">
      <alignment horizontal="center" vertical="center" wrapText="1"/>
      <protection locked="0"/>
    </xf>
    <xf numFmtId="0" fontId="51" fillId="4" borderId="15" xfId="11" applyFont="1" applyFill="1" applyBorder="1" applyAlignment="1" applyProtection="1">
      <alignment horizontal="center" vertical="center" wrapText="1"/>
      <protection locked="0"/>
    </xf>
    <xf numFmtId="9" fontId="51" fillId="4" borderId="15" xfId="10" applyNumberFormat="1" applyFont="1" applyFill="1" applyBorder="1" applyAlignment="1" applyProtection="1">
      <alignment horizontal="center" vertical="center" wrapText="1"/>
      <protection locked="0"/>
    </xf>
    <xf numFmtId="0" fontId="57" fillId="22" borderId="0" xfId="16" applyFont="1" applyFill="1" applyBorder="1"/>
    <xf numFmtId="0" fontId="57" fillId="22" borderId="0" xfId="16" applyFont="1" applyFill="1" applyBorder="1" applyAlignment="1">
      <alignment wrapText="1"/>
    </xf>
    <xf numFmtId="0" fontId="57" fillId="3" borderId="0" xfId="16" applyFont="1" applyFill="1" applyAlignment="1"/>
    <xf numFmtId="0" fontId="3" fillId="0" borderId="0" xfId="18" applyAlignment="1">
      <alignment horizontal="left"/>
    </xf>
    <xf numFmtId="0" fontId="65" fillId="3" borderId="15" xfId="17" applyFont="1" applyFill="1" applyBorder="1" applyAlignment="1" applyProtection="1">
      <alignment horizontal="center" vertical="center" wrapText="1"/>
    </xf>
    <xf numFmtId="0" fontId="65" fillId="3" borderId="21" xfId="17" applyFont="1" applyFill="1" applyBorder="1" applyAlignment="1" applyProtection="1">
      <alignment horizontal="center" vertical="center" wrapText="1"/>
    </xf>
    <xf numFmtId="0" fontId="52" fillId="3" borderId="15" xfId="17" applyFont="1" applyFill="1" applyBorder="1" applyAlignment="1" applyProtection="1">
      <alignment horizontal="center" vertical="center" wrapText="1"/>
    </xf>
    <xf numFmtId="2" fontId="52" fillId="3" borderId="15" xfId="17" applyNumberFormat="1" applyFont="1" applyFill="1" applyBorder="1" applyAlignment="1" applyProtection="1">
      <alignment horizontal="center" vertical="center" wrapText="1"/>
    </xf>
    <xf numFmtId="1" fontId="52" fillId="3" borderId="21" xfId="17" applyNumberFormat="1" applyFont="1" applyFill="1" applyBorder="1" applyAlignment="1" applyProtection="1">
      <alignment horizontal="center" vertical="center" wrapText="1"/>
    </xf>
    <xf numFmtId="1" fontId="57" fillId="3" borderId="0" xfId="16" applyNumberFormat="1" applyFont="1" applyFill="1" applyAlignment="1"/>
    <xf numFmtId="1" fontId="52" fillId="3" borderId="15" xfId="17" applyNumberFormat="1" applyFont="1" applyFill="1" applyBorder="1" applyAlignment="1" applyProtection="1">
      <alignment horizontal="center" vertical="center" wrapText="1"/>
    </xf>
    <xf numFmtId="0" fontId="66" fillId="22" borderId="95" xfId="16" applyFont="1" applyFill="1" applyBorder="1" applyAlignment="1">
      <alignment horizontal="center" wrapText="1"/>
    </xf>
    <xf numFmtId="0" fontId="66" fillId="22" borderId="0" xfId="16" applyFont="1" applyFill="1" applyBorder="1" applyAlignment="1">
      <alignment horizontal="left" vertical="center" wrapText="1"/>
    </xf>
    <xf numFmtId="0" fontId="66" fillId="22" borderId="0" xfId="16" applyFont="1" applyFill="1" applyBorder="1" applyAlignment="1">
      <alignment horizontal="center" vertical="center" wrapText="1"/>
    </xf>
    <xf numFmtId="0" fontId="57" fillId="22" borderId="20" xfId="16" applyFont="1" applyFill="1" applyBorder="1" applyAlignment="1">
      <alignment horizontal="center" vertical="center" wrapText="1"/>
    </xf>
    <xf numFmtId="1" fontId="57" fillId="22" borderId="25" xfId="16" applyNumberFormat="1" applyFont="1" applyFill="1" applyBorder="1" applyAlignment="1">
      <alignment horizontal="center" wrapText="1"/>
    </xf>
    <xf numFmtId="0" fontId="57" fillId="22" borderId="95" xfId="16" applyFont="1" applyFill="1" applyBorder="1" applyAlignment="1">
      <alignment horizontal="center" wrapText="1"/>
    </xf>
    <xf numFmtId="0" fontId="57" fillId="22" borderId="0" xfId="16" applyFont="1" applyFill="1" applyBorder="1" applyAlignment="1">
      <alignment horizontal="center" wrapText="1"/>
    </xf>
    <xf numFmtId="0" fontId="57" fillId="22" borderId="49" xfId="16" applyFont="1" applyFill="1" applyBorder="1" applyAlignment="1">
      <alignment horizontal="center" wrapText="1"/>
    </xf>
    <xf numFmtId="0" fontId="66" fillId="22" borderId="95" xfId="16" applyFont="1" applyFill="1" applyBorder="1" applyAlignment="1">
      <alignment horizontal="right" wrapText="1"/>
    </xf>
    <xf numFmtId="0" fontId="57" fillId="22" borderId="97" xfId="16" applyFont="1" applyFill="1" applyBorder="1" applyAlignment="1">
      <alignment horizontal="center" wrapText="1"/>
    </xf>
    <xf numFmtId="0" fontId="66" fillId="22" borderId="0" xfId="16" applyFont="1" applyFill="1" applyBorder="1" applyAlignment="1">
      <alignment horizontal="right" wrapText="1"/>
    </xf>
    <xf numFmtId="0" fontId="57" fillId="22" borderId="98" xfId="16" applyFont="1" applyFill="1" applyBorder="1" applyAlignment="1">
      <alignment horizontal="center" wrapText="1"/>
    </xf>
    <xf numFmtId="0" fontId="57" fillId="22" borderId="94" xfId="16" applyFont="1" applyFill="1" applyBorder="1" applyAlignment="1">
      <alignment horizontal="center" wrapText="1"/>
    </xf>
    <xf numFmtId="0" fontId="57" fillId="22" borderId="99" xfId="16" applyFont="1" applyFill="1" applyBorder="1" applyAlignment="1">
      <alignment horizontal="center" wrapText="1"/>
    </xf>
    <xf numFmtId="0" fontId="66" fillId="0" borderId="12" xfId="16" applyFont="1" applyFill="1" applyBorder="1" applyAlignment="1">
      <alignment horizontal="center" wrapText="1"/>
    </xf>
    <xf numFmtId="0" fontId="66" fillId="0" borderId="15" xfId="16" applyFont="1" applyFill="1" applyBorder="1" applyAlignment="1">
      <alignment horizontal="center" wrapText="1"/>
    </xf>
    <xf numFmtId="0" fontId="66" fillId="0" borderId="21" xfId="16" applyFont="1" applyFill="1" applyBorder="1" applyAlignment="1">
      <alignment horizontal="center" wrapText="1"/>
    </xf>
    <xf numFmtId="0" fontId="66" fillId="3" borderId="0" xfId="16" applyFont="1" applyFill="1" applyBorder="1" applyAlignment="1">
      <alignment horizontal="center"/>
    </xf>
    <xf numFmtId="0" fontId="67" fillId="24" borderId="12" xfId="16" quotePrefix="1" applyNumberFormat="1" applyFont="1" applyFill="1" applyBorder="1" applyAlignment="1">
      <alignment horizontal="left" wrapText="1"/>
    </xf>
    <xf numFmtId="0" fontId="59" fillId="0" borderId="15" xfId="16" applyFont="1" applyBorder="1" applyAlignment="1">
      <alignment wrapText="1"/>
    </xf>
    <xf numFmtId="0" fontId="59" fillId="0" borderId="34" xfId="16" applyFont="1" applyBorder="1" applyAlignment="1">
      <alignment wrapText="1"/>
    </xf>
    <xf numFmtId="0" fontId="57" fillId="3" borderId="15" xfId="16" applyFont="1" applyFill="1" applyBorder="1" applyAlignment="1">
      <alignment wrapText="1"/>
    </xf>
    <xf numFmtId="0" fontId="57" fillId="0" borderId="15" xfId="16" applyFont="1" applyBorder="1" applyAlignment="1">
      <alignment wrapText="1"/>
    </xf>
    <xf numFmtId="0" fontId="59" fillId="0" borderId="21" xfId="16" applyFont="1" applyBorder="1" applyAlignment="1">
      <alignment wrapText="1"/>
    </xf>
    <xf numFmtId="0" fontId="67" fillId="24" borderId="26" xfId="16" quotePrefix="1" applyNumberFormat="1" applyFont="1" applyFill="1" applyBorder="1" applyAlignment="1">
      <alignment horizontal="left" wrapText="1"/>
    </xf>
    <xf numFmtId="0" fontId="59" fillId="0" borderId="27" xfId="16" applyFont="1" applyBorder="1" applyAlignment="1">
      <alignment wrapText="1"/>
    </xf>
    <xf numFmtId="0" fontId="59" fillId="0" borderId="28" xfId="16" applyFont="1" applyBorder="1" applyAlignment="1">
      <alignment wrapText="1"/>
    </xf>
    <xf numFmtId="0" fontId="57" fillId="3" borderId="0" xfId="16" applyFont="1" applyFill="1" applyAlignment="1">
      <alignment wrapText="1"/>
    </xf>
    <xf numFmtId="0" fontId="57" fillId="22" borderId="97" xfId="16" applyFont="1" applyFill="1" applyBorder="1" applyAlignment="1">
      <alignment horizontal="center" vertical="center" wrapText="1"/>
    </xf>
    <xf numFmtId="0" fontId="59" fillId="0" borderId="15" xfId="16" applyFont="1" applyBorder="1" applyAlignment="1">
      <alignment horizontal="center" wrapText="1"/>
    </xf>
    <xf numFmtId="0" fontId="57" fillId="0" borderId="15" xfId="16" applyFont="1" applyBorder="1" applyAlignment="1">
      <alignment horizontal="center" wrapText="1"/>
    </xf>
    <xf numFmtId="0" fontId="59" fillId="0" borderId="27" xfId="16" applyFont="1" applyBorder="1" applyAlignment="1">
      <alignment horizontal="center" wrapText="1"/>
    </xf>
    <xf numFmtId="2" fontId="52" fillId="3" borderId="21" xfId="17" applyNumberFormat="1" applyFont="1" applyFill="1" applyBorder="1" applyAlignment="1" applyProtection="1">
      <alignment horizontal="center" vertical="center" wrapText="1"/>
    </xf>
    <xf numFmtId="0" fontId="57" fillId="22" borderId="25" xfId="16" applyFont="1" applyFill="1" applyBorder="1" applyAlignment="1">
      <alignment horizontal="center" wrapText="1"/>
    </xf>
    <xf numFmtId="0" fontId="59" fillId="0" borderId="21" xfId="16" applyFont="1" applyBorder="1" applyAlignment="1">
      <alignment horizontal="center" wrapText="1"/>
    </xf>
    <xf numFmtId="0" fontId="46" fillId="0" borderId="21" xfId="10" applyFont="1" applyFill="1" applyBorder="1" applyAlignment="1" applyProtection="1">
      <alignment horizontal="center" vertical="center" wrapText="1"/>
    </xf>
    <xf numFmtId="0" fontId="47" fillId="0" borderId="6" xfId="10" applyFont="1" applyFill="1" applyBorder="1" applyAlignment="1" applyProtection="1">
      <alignment horizontal="center" vertical="center" wrapText="1"/>
    </xf>
    <xf numFmtId="0" fontId="52" fillId="0" borderId="15" xfId="13" applyFont="1" applyFill="1" applyBorder="1" applyAlignment="1" applyProtection="1">
      <alignment horizontal="center" vertical="center" wrapText="1"/>
      <protection locked="0"/>
    </xf>
    <xf numFmtId="168" fontId="3" fillId="9" borderId="15" xfId="11" applyNumberFormat="1" applyFont="1" applyFill="1" applyBorder="1" applyAlignment="1" applyProtection="1">
      <alignment horizontal="center" vertical="center" wrapText="1"/>
      <protection locked="0"/>
    </xf>
    <xf numFmtId="168" fontId="51" fillId="18" borderId="15" xfId="11" applyNumberFormat="1" applyFont="1" applyFill="1" applyBorder="1" applyAlignment="1" applyProtection="1">
      <alignment horizontal="center" vertical="center" wrapText="1"/>
      <protection locked="0"/>
    </xf>
    <xf numFmtId="169" fontId="52" fillId="3" borderId="15" xfId="13" applyNumberFormat="1" applyFont="1" applyFill="1" applyBorder="1" applyAlignment="1" applyProtection="1">
      <alignment horizontal="center" vertical="center" wrapText="1"/>
      <protection locked="0"/>
    </xf>
    <xf numFmtId="0" fontId="17" fillId="0" borderId="15" xfId="10" applyFont="1" applyFill="1" applyBorder="1" applyAlignment="1">
      <alignment horizontal="justify" vertical="center" wrapText="1"/>
    </xf>
    <xf numFmtId="169" fontId="3" fillId="9" borderId="15" xfId="13" applyNumberFormat="1" applyFont="1" applyFill="1" applyBorder="1" applyAlignment="1" applyProtection="1">
      <alignment horizontal="center" vertical="center" wrapText="1"/>
      <protection locked="0"/>
    </xf>
    <xf numFmtId="169" fontId="51" fillId="18" borderId="15" xfId="10" applyNumberFormat="1" applyFont="1" applyFill="1" applyBorder="1" applyAlignment="1" applyProtection="1">
      <alignment horizontal="center" vertical="center" wrapText="1"/>
      <protection locked="0"/>
    </xf>
    <xf numFmtId="3" fontId="51" fillId="18" borderId="15" xfId="10" applyNumberFormat="1" applyFont="1" applyFill="1" applyBorder="1" applyAlignment="1" applyProtection="1">
      <alignment horizontal="center" vertical="center" wrapText="1"/>
      <protection locked="0"/>
    </xf>
    <xf numFmtId="10" fontId="18" fillId="3" borderId="15" xfId="10" applyNumberFormat="1" applyFont="1" applyFill="1" applyBorder="1" applyAlignment="1" applyProtection="1">
      <alignment horizontal="center" vertical="center" wrapText="1"/>
      <protection locked="0"/>
    </xf>
    <xf numFmtId="9" fontId="18" fillId="0" borderId="15" xfId="10" applyNumberFormat="1" applyFont="1" applyFill="1" applyBorder="1" applyAlignment="1" applyProtection="1">
      <alignment horizontal="center" vertical="center" wrapText="1"/>
      <protection locked="0"/>
    </xf>
    <xf numFmtId="9" fontId="52" fillId="0" borderId="15" xfId="13" applyNumberFormat="1" applyFont="1" applyFill="1" applyBorder="1" applyAlignment="1" applyProtection="1">
      <alignment horizontal="center" vertical="center" wrapText="1"/>
      <protection locked="0"/>
    </xf>
    <xf numFmtId="3" fontId="18" fillId="0" borderId="15" xfId="10" applyNumberFormat="1" applyFont="1" applyFill="1" applyBorder="1" applyAlignment="1" applyProtection="1">
      <alignment horizontal="justify" vertical="center" wrapText="1"/>
      <protection locked="0"/>
    </xf>
    <xf numFmtId="10" fontId="51" fillId="0" borderId="15" xfId="14" applyNumberFormat="1" applyFont="1" applyFill="1" applyBorder="1" applyAlignment="1" applyProtection="1">
      <alignment horizontal="center" vertical="center" wrapText="1"/>
      <protection locked="0"/>
    </xf>
    <xf numFmtId="9" fontId="3" fillId="9" borderId="15" xfId="13" applyNumberFormat="1" applyFont="1" applyFill="1" applyBorder="1" applyAlignment="1" applyProtection="1">
      <alignment horizontal="center" vertical="center" wrapText="1"/>
      <protection locked="0"/>
    </xf>
    <xf numFmtId="9" fontId="51" fillId="18" borderId="15" xfId="10" applyNumberFormat="1" applyFont="1" applyFill="1" applyBorder="1" applyAlignment="1" applyProtection="1">
      <alignment horizontal="center" vertical="center" wrapText="1"/>
      <protection locked="0"/>
    </xf>
    <xf numFmtId="169" fontId="3" fillId="9" borderId="46" xfId="11" applyNumberFormat="1" applyFont="1" applyFill="1" applyBorder="1" applyAlignment="1" applyProtection="1">
      <alignment horizontal="center" vertical="center" wrapText="1"/>
      <protection locked="0"/>
    </xf>
    <xf numFmtId="169" fontId="0" fillId="9" borderId="46" xfId="11" applyNumberFormat="1" applyFont="1" applyFill="1" applyBorder="1" applyAlignment="1" applyProtection="1">
      <alignment horizontal="center" vertical="center" wrapText="1"/>
      <protection locked="0"/>
    </xf>
    <xf numFmtId="169" fontId="3" fillId="16" borderId="46" xfId="11" applyNumberFormat="1" applyFont="1" applyFill="1" applyBorder="1" applyAlignment="1" applyProtection="1">
      <alignment horizontal="center" vertical="center" wrapText="1"/>
      <protection locked="0"/>
    </xf>
    <xf numFmtId="169" fontId="3" fillId="17" borderId="46" xfId="11" applyNumberFormat="1" applyFont="1" applyFill="1" applyBorder="1" applyAlignment="1" applyProtection="1">
      <alignment horizontal="center" vertical="center" wrapText="1"/>
      <protection locked="0"/>
    </xf>
    <xf numFmtId="49" fontId="51" fillId="17" borderId="46" xfId="11" applyNumberFormat="1" applyFont="1" applyFill="1" applyBorder="1" applyAlignment="1" applyProtection="1">
      <alignment horizontal="center" vertical="center" wrapText="1"/>
      <protection locked="0"/>
    </xf>
    <xf numFmtId="169" fontId="51" fillId="18" borderId="46" xfId="11" applyNumberFormat="1" applyFont="1" applyFill="1" applyBorder="1" applyAlignment="1" applyProtection="1">
      <alignment horizontal="center" vertical="center" wrapText="1"/>
      <protection locked="0"/>
    </xf>
    <xf numFmtId="0" fontId="46" fillId="0" borderId="36" xfId="10" applyFont="1" applyFill="1" applyBorder="1" applyAlignment="1" applyProtection="1">
      <alignment horizontal="center" vertical="center" wrapText="1"/>
    </xf>
    <xf numFmtId="0" fontId="18" fillId="0" borderId="27" xfId="10" applyFont="1" applyFill="1" applyBorder="1" applyAlignment="1" applyProtection="1">
      <alignment horizontal="justify" vertical="center" wrapText="1"/>
      <protection locked="0"/>
    </xf>
    <xf numFmtId="0" fontId="47" fillId="9" borderId="69" xfId="10" applyFont="1" applyFill="1" applyBorder="1" applyAlignment="1" applyProtection="1">
      <alignment horizontal="center" vertical="center" wrapText="1"/>
    </xf>
    <xf numFmtId="0" fontId="47" fillId="9" borderId="71" xfId="10" applyFont="1" applyFill="1" applyBorder="1" applyAlignment="1" applyProtection="1">
      <alignment horizontal="center" vertical="center" wrapText="1"/>
    </xf>
    <xf numFmtId="0" fontId="47" fillId="16" borderId="72" xfId="10" applyFont="1" applyFill="1" applyBorder="1" applyAlignment="1" applyProtection="1">
      <alignment horizontal="center" vertical="center" wrapText="1"/>
    </xf>
    <xf numFmtId="0" fontId="47" fillId="16" borderId="70" xfId="10" applyFont="1" applyFill="1" applyBorder="1" applyAlignment="1" applyProtection="1">
      <alignment horizontal="center" vertical="center" wrapText="1"/>
    </xf>
    <xf numFmtId="0" fontId="47" fillId="17" borderId="70" xfId="10" applyFont="1" applyFill="1" applyBorder="1" applyAlignment="1" applyProtection="1">
      <alignment horizontal="center" vertical="center" wrapText="1"/>
    </xf>
    <xf numFmtId="0" fontId="47" fillId="0" borderId="53" xfId="10" applyFont="1" applyFill="1" applyBorder="1" applyAlignment="1">
      <alignment horizontal="center" vertical="center" wrapText="1"/>
    </xf>
    <xf numFmtId="0" fontId="49" fillId="19" borderId="52" xfId="10" applyFont="1" applyFill="1" applyBorder="1" applyAlignment="1" applyProtection="1">
      <alignment horizontal="center" vertical="center" wrapText="1"/>
    </xf>
    <xf numFmtId="0" fontId="46" fillId="0" borderId="52" xfId="10" applyFont="1" applyFill="1" applyBorder="1" applyAlignment="1" applyProtection="1">
      <alignment horizontal="center" vertical="center" wrapText="1"/>
    </xf>
    <xf numFmtId="0" fontId="46" fillId="20" borderId="53" xfId="10" applyFont="1" applyFill="1" applyBorder="1" applyAlignment="1" applyProtection="1">
      <alignment horizontal="center" vertical="center" wrapText="1"/>
    </xf>
    <xf numFmtId="169" fontId="51" fillId="3" borderId="46" xfId="11" applyNumberFormat="1" applyFont="1" applyFill="1" applyBorder="1" applyAlignment="1" applyProtection="1">
      <alignment horizontal="center" vertical="center" wrapText="1"/>
      <protection locked="0"/>
    </xf>
    <xf numFmtId="1" fontId="64" fillId="3" borderId="0" xfId="16" applyNumberFormat="1" applyFont="1" applyFill="1" applyAlignment="1"/>
    <xf numFmtId="0" fontId="57" fillId="3" borderId="15" xfId="16" applyFont="1" applyFill="1" applyBorder="1" applyAlignment="1"/>
    <xf numFmtId="1" fontId="57" fillId="3" borderId="15" xfId="16" applyNumberFormat="1" applyFont="1" applyFill="1" applyBorder="1" applyAlignment="1"/>
    <xf numFmtId="168" fontId="3" fillId="9" borderId="46" xfId="11" applyNumberFormat="1" applyFont="1" applyFill="1" applyBorder="1" applyAlignment="1" applyProtection="1">
      <alignment horizontal="center" vertical="center" wrapText="1"/>
      <protection locked="0"/>
    </xf>
    <xf numFmtId="168" fontId="3" fillId="16" borderId="46" xfId="11" applyNumberFormat="1" applyFont="1" applyFill="1" applyBorder="1" applyAlignment="1" applyProtection="1">
      <alignment horizontal="center" vertical="center" wrapText="1"/>
      <protection locked="0"/>
    </xf>
    <xf numFmtId="168" fontId="3" fillId="17" borderId="46" xfId="11" applyNumberFormat="1" applyFont="1" applyFill="1" applyBorder="1" applyAlignment="1" applyProtection="1">
      <alignment horizontal="center" vertical="center" wrapText="1"/>
      <protection locked="0"/>
    </xf>
    <xf numFmtId="168" fontId="51" fillId="18" borderId="46" xfId="12" applyNumberFormat="1" applyFont="1" applyFill="1" applyBorder="1" applyAlignment="1" applyProtection="1">
      <alignment horizontal="center" vertical="center" wrapText="1"/>
      <protection locked="0"/>
    </xf>
    <xf numFmtId="168" fontId="41" fillId="0" borderId="15" xfId="11" applyNumberFormat="1" applyFont="1" applyFill="1" applyBorder="1" applyAlignment="1" applyProtection="1">
      <alignment horizontal="center" vertical="center" wrapText="1"/>
      <protection locked="0"/>
    </xf>
    <xf numFmtId="169" fontId="41" fillId="0" borderId="15" xfId="11" applyNumberFormat="1" applyFont="1" applyFill="1" applyBorder="1" applyAlignment="1" applyProtection="1">
      <alignment horizontal="center" vertical="center" wrapText="1"/>
      <protection locked="0"/>
    </xf>
    <xf numFmtId="9" fontId="51" fillId="18" borderId="15" xfId="1" applyFont="1" applyFill="1" applyBorder="1" applyAlignment="1" applyProtection="1">
      <alignment horizontal="center" vertical="center" wrapText="1"/>
      <protection locked="0"/>
    </xf>
    <xf numFmtId="0" fontId="54" fillId="3" borderId="0" xfId="0" applyFont="1" applyFill="1" applyAlignment="1">
      <alignment horizontal="justify" vertical="center"/>
    </xf>
    <xf numFmtId="0" fontId="68" fillId="3" borderId="0" xfId="0" applyFont="1" applyFill="1"/>
    <xf numFmtId="0" fontId="68" fillId="0" borderId="0" xfId="0" applyFont="1"/>
    <xf numFmtId="0" fontId="0" fillId="3" borderId="15" xfId="0" applyFill="1" applyBorder="1"/>
    <xf numFmtId="0" fontId="0" fillId="3" borderId="15" xfId="0" applyFill="1" applyBorder="1" applyAlignment="1"/>
    <xf numFmtId="0" fontId="0" fillId="3" borderId="0" xfId="0" applyFill="1" applyAlignment="1">
      <alignment horizontal="left" vertical="center"/>
    </xf>
    <xf numFmtId="0" fontId="0" fillId="3" borderId="15" xfId="0" applyFill="1" applyBorder="1" applyAlignment="1">
      <alignment horizontal="left" vertical="center"/>
    </xf>
    <xf numFmtId="0" fontId="54" fillId="3" borderId="15" xfId="0" applyFont="1" applyFill="1" applyBorder="1" applyAlignment="1">
      <alignment horizontal="justify" vertical="center" wrapText="1"/>
    </xf>
    <xf numFmtId="0" fontId="35" fillId="3" borderId="15" xfId="0" applyFont="1" applyFill="1" applyBorder="1" applyAlignment="1">
      <alignment horizontal="center" vertical="center" wrapText="1"/>
    </xf>
    <xf numFmtId="0" fontId="69" fillId="0" borderId="15" xfId="0" applyFont="1" applyBorder="1" applyAlignment="1">
      <alignment horizontal="center" vertical="center" wrapText="1"/>
    </xf>
    <xf numFmtId="0" fontId="32" fillId="0" borderId="15" xfId="0" applyFont="1" applyBorder="1"/>
    <xf numFmtId="0" fontId="35" fillId="3" borderId="15" xfId="0" applyFont="1" applyFill="1" applyBorder="1" applyAlignment="1">
      <alignment vertical="center" wrapText="1"/>
    </xf>
    <xf numFmtId="0" fontId="35" fillId="3" borderId="15" xfId="0" applyFont="1" applyFill="1" applyBorder="1" applyAlignment="1">
      <alignment vertical="center"/>
    </xf>
    <xf numFmtId="0" fontId="35" fillId="3" borderId="15" xfId="0" applyFont="1" applyFill="1" applyBorder="1" applyAlignment="1">
      <alignment horizontal="center" vertical="center"/>
    </xf>
    <xf numFmtId="0" fontId="69" fillId="0" borderId="15" xfId="0" applyFont="1" applyBorder="1" applyAlignment="1">
      <alignment horizontal="center"/>
    </xf>
    <xf numFmtId="0" fontId="0" fillId="3" borderId="15" xfId="0" applyFill="1" applyBorder="1" applyAlignment="1">
      <alignment horizontal="left" vertical="center" wrapText="1"/>
    </xf>
    <xf numFmtId="167" fontId="3" fillId="9" borderId="15" xfId="11" applyNumberFormat="1" applyFont="1" applyFill="1" applyBorder="1" applyAlignment="1" applyProtection="1">
      <alignment horizontal="center" vertical="center" wrapText="1"/>
      <protection locked="0"/>
    </xf>
    <xf numFmtId="167" fontId="3" fillId="16" borderId="15" xfId="11" applyNumberFormat="1" applyFont="1" applyFill="1" applyBorder="1" applyAlignment="1" applyProtection="1">
      <alignment horizontal="center" vertical="center" wrapText="1"/>
      <protection locked="0"/>
    </xf>
    <xf numFmtId="167" fontId="3" fillId="17" borderId="15" xfId="11" applyNumberFormat="1" applyFont="1" applyFill="1" applyBorder="1" applyAlignment="1" applyProtection="1">
      <alignment horizontal="center" vertical="center" wrapText="1"/>
      <protection locked="0"/>
    </xf>
    <xf numFmtId="167" fontId="51" fillId="18" borderId="15" xfId="12" applyNumberFormat="1" applyFont="1" applyFill="1" applyBorder="1" applyAlignment="1" applyProtection="1">
      <alignment horizontal="center" vertical="center" wrapText="1"/>
      <protection locked="0"/>
    </xf>
    <xf numFmtId="0" fontId="7" fillId="16" borderId="15" xfId="0" applyFont="1" applyFill="1" applyBorder="1" applyAlignment="1">
      <alignment horizontal="left" vertical="center" wrapText="1"/>
    </xf>
    <xf numFmtId="0" fontId="0" fillId="16" borderId="15" xfId="0" applyFill="1" applyBorder="1" applyAlignment="1">
      <alignment horizontal="left" vertical="center" wrapText="1"/>
    </xf>
    <xf numFmtId="0" fontId="54" fillId="16" borderId="15" xfId="0" applyFont="1" applyFill="1" applyBorder="1" applyAlignment="1">
      <alignment horizontal="justify" vertical="center" wrapText="1"/>
    </xf>
    <xf numFmtId="0" fontId="54" fillId="16" borderId="15" xfId="0" applyFont="1" applyFill="1" applyBorder="1" applyAlignment="1">
      <alignment horizontal="left" vertical="center" wrapText="1"/>
    </xf>
    <xf numFmtId="0" fontId="68" fillId="16" borderId="15" xfId="0" applyFont="1" applyFill="1" applyBorder="1" applyAlignment="1">
      <alignment horizontal="justify" vertical="top" wrapText="1"/>
    </xf>
    <xf numFmtId="0" fontId="0" fillId="16" borderId="15" xfId="0" applyFill="1" applyBorder="1" applyAlignment="1">
      <alignment horizontal="center" vertical="center"/>
    </xf>
    <xf numFmtId="0" fontId="54" fillId="16" borderId="15" xfId="0" applyFont="1" applyFill="1" applyBorder="1" applyAlignment="1">
      <alignment horizontal="justify" vertical="top" wrapText="1"/>
    </xf>
    <xf numFmtId="0" fontId="68" fillId="16" borderId="15" xfId="0" applyFont="1" applyFill="1" applyBorder="1" applyAlignment="1">
      <alignment wrapText="1"/>
    </xf>
    <xf numFmtId="0" fontId="0" fillId="26" borderId="15" xfId="0" applyFill="1" applyBorder="1"/>
    <xf numFmtId="0" fontId="0" fillId="26" borderId="15" xfId="0" applyFill="1" applyBorder="1" applyAlignment="1">
      <alignment horizontal="center" vertical="center"/>
    </xf>
    <xf numFmtId="0" fontId="0" fillId="3" borderId="15" xfId="0" applyFill="1" applyBorder="1" applyAlignment="1">
      <alignment horizontal="left"/>
    </xf>
    <xf numFmtId="0" fontId="0" fillId="3" borderId="15" xfId="0" applyFill="1" applyBorder="1" applyAlignment="1">
      <alignment horizontal="left" wrapText="1"/>
    </xf>
    <xf numFmtId="0" fontId="68" fillId="3" borderId="15" xfId="0" applyFont="1" applyFill="1" applyBorder="1" applyAlignment="1">
      <alignment horizontal="justify" vertical="center" wrapText="1"/>
    </xf>
    <xf numFmtId="0" fontId="0" fillId="3" borderId="15" xfId="0" applyFill="1" applyBorder="1" applyAlignment="1">
      <alignment vertical="center" wrapText="1"/>
    </xf>
    <xf numFmtId="0" fontId="36" fillId="3" borderId="15" xfId="0" applyFont="1" applyFill="1" applyBorder="1" applyAlignment="1">
      <alignment horizontal="justify" vertical="center" wrapText="1"/>
    </xf>
    <xf numFmtId="0" fontId="43" fillId="3" borderId="15" xfId="0" applyFont="1" applyFill="1" applyBorder="1" applyAlignment="1">
      <alignment horizontal="justify" vertical="top"/>
    </xf>
    <xf numFmtId="0" fontId="51" fillId="0" borderId="15" xfId="0" applyFont="1" applyBorder="1" applyAlignment="1">
      <alignment vertical="top" wrapText="1"/>
    </xf>
    <xf numFmtId="0" fontId="51" fillId="0" borderId="15" xfId="0" applyFont="1" applyBorder="1" applyAlignment="1">
      <alignment horizontal="left" vertical="top" wrapText="1"/>
    </xf>
    <xf numFmtId="0" fontId="71" fillId="3" borderId="15" xfId="0" applyFont="1" applyFill="1" applyBorder="1" applyAlignment="1">
      <alignment horizontal="center" vertical="center"/>
    </xf>
    <xf numFmtId="0" fontId="7" fillId="16" borderId="15" xfId="0" applyFont="1" applyFill="1" applyBorder="1" applyAlignment="1">
      <alignment horizontal="center" vertical="center"/>
    </xf>
    <xf numFmtId="1" fontId="7" fillId="16" borderId="15" xfId="0" applyNumberFormat="1" applyFont="1" applyFill="1" applyBorder="1" applyAlignment="1">
      <alignment horizontal="center" vertical="center"/>
    </xf>
    <xf numFmtId="0" fontId="75" fillId="3" borderId="0" xfId="0" applyFont="1" applyFill="1"/>
    <xf numFmtId="0" fontId="76" fillId="27" borderId="15" xfId="0" applyFont="1" applyFill="1" applyBorder="1" applyAlignment="1">
      <alignment vertical="center" wrapText="1"/>
    </xf>
    <xf numFmtId="0" fontId="76" fillId="27" borderId="15" xfId="0" applyFont="1" applyFill="1" applyBorder="1" applyAlignment="1">
      <alignment horizontal="left" vertical="center" wrapText="1"/>
    </xf>
    <xf numFmtId="0" fontId="76" fillId="27" borderId="15" xfId="0" applyFont="1" applyFill="1" applyBorder="1" applyAlignment="1">
      <alignment horizontal="center" vertical="center" wrapText="1"/>
    </xf>
    <xf numFmtId="0" fontId="76" fillId="27" borderId="15" xfId="0" applyNumberFormat="1" applyFont="1" applyFill="1" applyBorder="1" applyAlignment="1">
      <alignment horizontal="center" vertical="center" wrapText="1"/>
    </xf>
    <xf numFmtId="0" fontId="76" fillId="25" borderId="15" xfId="0" applyFont="1" applyFill="1" applyBorder="1" applyAlignment="1">
      <alignment vertical="center"/>
    </xf>
    <xf numFmtId="0" fontId="76" fillId="25" borderId="15" xfId="0" applyFont="1" applyFill="1" applyBorder="1" applyAlignment="1">
      <alignment horizontal="center" vertical="center"/>
    </xf>
    <xf numFmtId="0" fontId="76" fillId="25" borderId="15" xfId="0" applyFont="1" applyFill="1" applyBorder="1" applyAlignment="1">
      <alignment horizontal="center" vertical="center"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wrapText="1"/>
    </xf>
    <xf numFmtId="0" fontId="74" fillId="27" borderId="15" xfId="0" applyFont="1" applyFill="1" applyBorder="1" applyAlignment="1">
      <alignment horizontal="center" vertical="center" wrapText="1"/>
    </xf>
    <xf numFmtId="0" fontId="75" fillId="3" borderId="15" xfId="0" applyFont="1" applyFill="1" applyBorder="1" applyAlignment="1">
      <alignment horizontal="center" vertical="center" wrapText="1"/>
    </xf>
    <xf numFmtId="0" fontId="75" fillId="3" borderId="15" xfId="0" applyFont="1" applyFill="1" applyBorder="1" applyAlignment="1">
      <alignment horizontal="center" vertical="center"/>
    </xf>
    <xf numFmtId="0" fontId="78" fillId="25" borderId="15" xfId="0" applyFont="1" applyFill="1" applyBorder="1" applyAlignment="1">
      <alignment vertical="center" wrapText="1"/>
    </xf>
    <xf numFmtId="0" fontId="78" fillId="25" borderId="15" xfId="0" applyFont="1" applyFill="1" applyBorder="1" applyAlignment="1">
      <alignment horizontal="center" vertical="center" wrapText="1"/>
    </xf>
    <xf numFmtId="3" fontId="76" fillId="27" borderId="15" xfId="0" applyNumberFormat="1" applyFont="1" applyFill="1" applyBorder="1" applyAlignment="1">
      <alignment horizontal="center" vertical="center" wrapText="1"/>
    </xf>
    <xf numFmtId="164" fontId="76" fillId="27" borderId="15" xfId="5" applyFont="1" applyFill="1" applyBorder="1" applyAlignment="1">
      <alignment horizontal="center" vertical="center" wrapText="1"/>
    </xf>
    <xf numFmtId="3" fontId="26" fillId="29" borderId="15" xfId="0" applyNumberFormat="1" applyFont="1" applyFill="1" applyBorder="1" applyAlignment="1">
      <alignment horizontal="center" vertical="center" wrapText="1"/>
    </xf>
    <xf numFmtId="0" fontId="26" fillId="27" borderId="15" xfId="0" applyFont="1" applyFill="1" applyBorder="1" applyAlignment="1">
      <alignment vertical="center" wrapText="1"/>
    </xf>
    <xf numFmtId="0" fontId="26" fillId="9" borderId="15" xfId="0" applyFont="1" applyFill="1" applyBorder="1" applyAlignment="1">
      <alignment vertical="center"/>
    </xf>
    <xf numFmtId="0" fontId="70" fillId="27" borderId="15" xfId="19" applyFont="1" applyFill="1" applyBorder="1" applyAlignment="1">
      <alignment vertical="center" wrapText="1"/>
    </xf>
    <xf numFmtId="0" fontId="70" fillId="27" borderId="15" xfId="19" applyFont="1" applyFill="1" applyBorder="1" applyAlignment="1">
      <alignment horizontal="center" vertical="center" wrapText="1"/>
    </xf>
    <xf numFmtId="0" fontId="70" fillId="25" borderId="15" xfId="19" applyFont="1" applyFill="1" applyBorder="1" applyAlignment="1">
      <alignment vertical="center"/>
    </xf>
    <xf numFmtId="0" fontId="70" fillId="25" borderId="15" xfId="19" applyFont="1" applyFill="1" applyBorder="1" applyAlignment="1">
      <alignment vertical="center" wrapText="1"/>
    </xf>
    <xf numFmtId="0" fontId="70" fillId="25" borderId="15" xfId="19" applyFont="1" applyFill="1" applyBorder="1" applyAlignment="1">
      <alignment horizontal="center" vertical="center" wrapText="1"/>
    </xf>
    <xf numFmtId="0" fontId="70" fillId="27" borderId="60" xfId="19" applyFont="1" applyFill="1" applyBorder="1" applyAlignment="1">
      <alignment horizontal="right" vertical="center" wrapText="1"/>
    </xf>
    <xf numFmtId="0" fontId="70" fillId="27" borderId="15" xfId="19" applyFont="1" applyFill="1" applyBorder="1" applyAlignment="1">
      <alignment horizontal="justify" vertical="center" wrapText="1"/>
    </xf>
    <xf numFmtId="164" fontId="70" fillId="25" borderId="15" xfId="20" applyFont="1" applyFill="1" applyBorder="1" applyAlignment="1">
      <alignment horizontal="center" vertical="center"/>
    </xf>
    <xf numFmtId="164" fontId="70" fillId="25" borderId="60" xfId="20" applyFont="1" applyFill="1" applyBorder="1" applyAlignment="1">
      <alignment horizontal="right" vertical="center"/>
    </xf>
    <xf numFmtId="0" fontId="75" fillId="25" borderId="15" xfId="0" applyFont="1" applyFill="1" applyBorder="1"/>
    <xf numFmtId="0" fontId="75" fillId="3" borderId="15" xfId="1" applyNumberFormat="1" applyFont="1" applyFill="1" applyBorder="1" applyAlignment="1">
      <alignment horizontal="center" vertical="center"/>
    </xf>
    <xf numFmtId="0" fontId="80" fillId="27" borderId="34" xfId="19" applyFont="1" applyFill="1" applyBorder="1" applyAlignment="1">
      <alignment vertical="center" wrapText="1"/>
    </xf>
    <xf numFmtId="0" fontId="80" fillId="27" borderId="34" xfId="19" applyFont="1" applyFill="1" applyBorder="1" applyAlignment="1">
      <alignment horizontal="left" vertical="center" wrapText="1"/>
    </xf>
    <xf numFmtId="0" fontId="76" fillId="30" borderId="34" xfId="19" applyFont="1" applyFill="1" applyBorder="1" applyAlignment="1">
      <alignment horizontal="center" vertical="center" wrapText="1"/>
    </xf>
    <xf numFmtId="0" fontId="82" fillId="9" borderId="15" xfId="19" applyFont="1" applyFill="1" applyBorder="1" applyAlignment="1">
      <alignment horizontal="center" vertical="center" wrapText="1"/>
    </xf>
    <xf numFmtId="0" fontId="80" fillId="27" borderId="15" xfId="19" applyFont="1" applyFill="1" applyBorder="1" applyAlignment="1">
      <alignment vertical="center" wrapText="1"/>
    </xf>
    <xf numFmtId="0" fontId="80" fillId="27" borderId="15" xfId="19" applyFont="1" applyFill="1" applyBorder="1" applyAlignment="1">
      <alignment horizontal="left" vertical="center" wrapText="1"/>
    </xf>
    <xf numFmtId="0" fontId="76" fillId="30" borderId="15" xfId="19" applyFont="1" applyFill="1" applyBorder="1" applyAlignment="1">
      <alignment horizontal="center" vertical="center" wrapText="1"/>
    </xf>
    <xf numFmtId="0" fontId="80" fillId="27" borderId="12" xfId="19" applyFont="1" applyFill="1" applyBorder="1" applyAlignment="1">
      <alignment vertical="center" wrapText="1"/>
    </xf>
    <xf numFmtId="0" fontId="80" fillId="27" borderId="12" xfId="19" applyFont="1" applyFill="1" applyBorder="1" applyAlignment="1">
      <alignment horizontal="left" vertical="center" wrapText="1"/>
    </xf>
    <xf numFmtId="0" fontId="80" fillId="27" borderId="15" xfId="19" applyFont="1" applyFill="1" applyBorder="1" applyAlignment="1">
      <alignment horizontal="center" vertical="center" wrapText="1"/>
    </xf>
    <xf numFmtId="164" fontId="80" fillId="27" borderId="15" xfId="20" applyFont="1" applyFill="1" applyBorder="1" applyAlignment="1">
      <alignment horizontal="center" vertical="center" wrapText="1"/>
    </xf>
    <xf numFmtId="0" fontId="84" fillId="25" borderId="15" xfId="19" applyFont="1" applyFill="1" applyBorder="1" applyAlignment="1">
      <alignment vertical="center" wrapText="1"/>
    </xf>
    <xf numFmtId="164" fontId="67" fillId="27" borderId="15" xfId="20" applyFont="1" applyFill="1" applyBorder="1" applyAlignment="1">
      <alignment horizontal="center" vertical="center" wrapText="1"/>
    </xf>
    <xf numFmtId="0" fontId="81" fillId="29" borderId="27" xfId="19" applyFont="1" applyFill="1" applyBorder="1" applyAlignment="1">
      <alignment horizontal="center" vertical="center" wrapText="1"/>
    </xf>
    <xf numFmtId="0" fontId="7" fillId="3" borderId="0" xfId="24" applyFill="1"/>
    <xf numFmtId="0" fontId="7" fillId="0" borderId="0" xfId="24" applyFill="1"/>
    <xf numFmtId="0" fontId="86" fillId="19" borderId="35" xfId="24" applyFont="1" applyFill="1" applyBorder="1" applyAlignment="1" applyProtection="1">
      <alignment vertical="center" wrapText="1"/>
      <protection locked="0"/>
    </xf>
    <xf numFmtId="0" fontId="86" fillId="19" borderId="46" xfId="24" applyFont="1" applyFill="1" applyBorder="1" applyAlignment="1" applyProtection="1">
      <alignment vertical="center" wrapText="1"/>
      <protection locked="0"/>
    </xf>
    <xf numFmtId="0" fontId="86" fillId="19" borderId="56" xfId="24" applyFont="1" applyFill="1" applyBorder="1" applyAlignment="1" applyProtection="1">
      <alignment vertical="center" wrapText="1"/>
      <protection locked="0"/>
    </xf>
    <xf numFmtId="0" fontId="86" fillId="19" borderId="36" xfId="24" applyFont="1" applyFill="1" applyBorder="1" applyAlignment="1" applyProtection="1">
      <alignment vertical="center" wrapText="1"/>
      <protection locked="0"/>
    </xf>
    <xf numFmtId="0" fontId="7" fillId="9" borderId="0" xfId="24" applyFill="1"/>
    <xf numFmtId="0" fontId="31" fillId="19" borderId="23" xfId="24" applyFont="1" applyFill="1" applyBorder="1" applyAlignment="1" applyProtection="1">
      <alignment horizontal="center" vertical="center" wrapText="1"/>
      <protection locked="0"/>
    </xf>
    <xf numFmtId="0" fontId="31" fillId="19" borderId="20" xfId="24" applyFont="1" applyFill="1" applyBorder="1" applyAlignment="1" applyProtection="1">
      <alignment horizontal="center" vertical="center" wrapText="1"/>
      <protection locked="0"/>
    </xf>
    <xf numFmtId="0" fontId="31" fillId="19" borderId="108" xfId="24" applyFont="1" applyFill="1" applyBorder="1" applyAlignment="1" applyProtection="1">
      <alignment horizontal="center" vertical="center" wrapText="1"/>
      <protection locked="0"/>
    </xf>
    <xf numFmtId="0" fontId="31" fillId="31" borderId="25" xfId="24" applyFont="1" applyFill="1" applyBorder="1" applyAlignment="1" applyProtection="1">
      <alignment horizontal="center" vertical="center" wrapText="1"/>
      <protection locked="0"/>
    </xf>
    <xf numFmtId="0" fontId="33" fillId="3" borderId="46" xfId="24" applyFont="1" applyFill="1" applyBorder="1" applyAlignment="1">
      <alignment horizontal="justify" vertical="center" wrapText="1"/>
    </xf>
    <xf numFmtId="0" fontId="33" fillId="3" borderId="56" xfId="24" applyFont="1" applyFill="1" applyBorder="1" applyAlignment="1">
      <alignment horizontal="justify" vertical="center" wrapText="1"/>
    </xf>
    <xf numFmtId="0" fontId="33" fillId="3" borderId="35" xfId="24" applyFont="1" applyFill="1" applyBorder="1" applyAlignment="1">
      <alignment horizontal="center" vertical="center" wrapText="1"/>
    </xf>
    <xf numFmtId="0" fontId="33" fillId="3" borderId="46" xfId="24" applyFont="1" applyFill="1" applyBorder="1" applyAlignment="1">
      <alignment horizontal="center" vertical="center" wrapText="1"/>
    </xf>
    <xf numFmtId="0" fontId="33" fillId="10" borderId="46" xfId="24" applyFont="1" applyFill="1" applyBorder="1" applyAlignment="1">
      <alignment horizontal="center" vertical="center" wrapText="1"/>
    </xf>
    <xf numFmtId="0" fontId="33" fillId="10" borderId="56" xfId="24" applyFont="1" applyFill="1" applyBorder="1" applyAlignment="1">
      <alignment horizontal="center" vertical="center" wrapText="1"/>
    </xf>
    <xf numFmtId="0" fontId="33" fillId="32" borderId="35" xfId="24" applyFont="1" applyFill="1" applyBorder="1" applyAlignment="1">
      <alignment horizontal="center" vertical="center" wrapText="1"/>
    </xf>
    <xf numFmtId="0" fontId="33" fillId="32" borderId="46" xfId="24" applyFont="1" applyFill="1" applyBorder="1" applyAlignment="1">
      <alignment horizontal="center" vertical="center" wrapText="1"/>
    </xf>
    <xf numFmtId="0" fontId="33" fillId="32" borderId="36" xfId="24" applyFont="1" applyFill="1" applyBorder="1" applyAlignment="1">
      <alignment horizontal="center" vertical="center" wrapText="1"/>
    </xf>
    <xf numFmtId="0" fontId="33" fillId="3" borderId="36" xfId="24" applyFont="1" applyFill="1" applyBorder="1" applyAlignment="1">
      <alignment horizontal="center" vertical="center" wrapText="1"/>
    </xf>
    <xf numFmtId="0" fontId="88" fillId="3" borderId="0" xfId="24" applyFont="1" applyFill="1"/>
    <xf numFmtId="0" fontId="88" fillId="0" borderId="0" xfId="24" applyFont="1" applyFill="1"/>
    <xf numFmtId="0" fontId="33" fillId="3" borderId="15" xfId="24" applyFont="1" applyFill="1" applyBorder="1" applyAlignment="1">
      <alignment horizontal="justify" vertical="center" wrapText="1"/>
    </xf>
    <xf numFmtId="0" fontId="33" fillId="3" borderId="34" xfId="24" applyFont="1" applyFill="1" applyBorder="1" applyAlignment="1">
      <alignment horizontal="justify" vertical="center" wrapText="1"/>
    </xf>
    <xf numFmtId="0" fontId="33" fillId="3" borderId="12" xfId="24" applyFont="1" applyFill="1" applyBorder="1" applyAlignment="1">
      <alignment horizontal="center" vertical="center" wrapText="1"/>
    </xf>
    <xf numFmtId="0" fontId="33" fillId="3" borderId="15" xfId="24" applyFont="1" applyFill="1" applyBorder="1" applyAlignment="1">
      <alignment horizontal="center" vertical="center" wrapText="1"/>
    </xf>
    <xf numFmtId="0" fontId="33" fillId="10" borderId="15" xfId="24" applyFont="1" applyFill="1" applyBorder="1" applyAlignment="1">
      <alignment horizontal="center" vertical="center" wrapText="1"/>
    </xf>
    <xf numFmtId="0" fontId="33" fillId="10" borderId="34" xfId="24" applyFont="1" applyFill="1" applyBorder="1" applyAlignment="1">
      <alignment horizontal="center" vertical="center" wrapText="1"/>
    </xf>
    <xf numFmtId="0" fontId="33" fillId="32" borderId="12" xfId="24" applyFont="1" applyFill="1" applyBorder="1" applyAlignment="1">
      <alignment horizontal="center" vertical="center" wrapText="1"/>
    </xf>
    <xf numFmtId="0" fontId="33" fillId="32" borderId="15" xfId="24" applyFont="1" applyFill="1" applyBorder="1" applyAlignment="1">
      <alignment horizontal="center" vertical="center" wrapText="1"/>
    </xf>
    <xf numFmtId="0" fontId="33" fillId="3" borderId="21" xfId="24" applyFont="1" applyFill="1" applyBorder="1" applyAlignment="1">
      <alignment horizontal="center" vertical="center" wrapText="1"/>
    </xf>
    <xf numFmtId="0" fontId="33" fillId="3" borderId="15" xfId="24" applyFont="1" applyFill="1" applyBorder="1" applyAlignment="1">
      <alignment vertical="center" wrapText="1"/>
    </xf>
    <xf numFmtId="9" fontId="33" fillId="3" borderId="12" xfId="24" applyNumberFormat="1" applyFont="1" applyFill="1" applyBorder="1" applyAlignment="1">
      <alignment horizontal="center" vertical="center" wrapText="1"/>
    </xf>
    <xf numFmtId="9" fontId="33" fillId="3" borderId="15" xfId="24" applyNumberFormat="1" applyFont="1" applyFill="1" applyBorder="1" applyAlignment="1">
      <alignment horizontal="center" vertical="center" wrapText="1"/>
    </xf>
    <xf numFmtId="9" fontId="33" fillId="10" borderId="15" xfId="24" applyNumberFormat="1" applyFont="1" applyFill="1" applyBorder="1" applyAlignment="1">
      <alignment horizontal="center" vertical="center" wrapText="1"/>
    </xf>
    <xf numFmtId="9" fontId="33" fillId="10" borderId="34" xfId="24" applyNumberFormat="1" applyFont="1" applyFill="1" applyBorder="1" applyAlignment="1">
      <alignment horizontal="center" vertical="center" wrapText="1"/>
    </xf>
    <xf numFmtId="9" fontId="33" fillId="32" borderId="12" xfId="24" applyNumberFormat="1" applyFont="1" applyFill="1" applyBorder="1" applyAlignment="1">
      <alignment horizontal="center" vertical="center" wrapText="1"/>
    </xf>
    <xf numFmtId="9" fontId="33" fillId="32" borderId="15" xfId="24" applyNumberFormat="1" applyFont="1" applyFill="1" applyBorder="1" applyAlignment="1">
      <alignment horizontal="center" vertical="center" wrapText="1"/>
    </xf>
    <xf numFmtId="9" fontId="33" fillId="3" borderId="21" xfId="24" applyNumberFormat="1" applyFont="1" applyFill="1" applyBorder="1" applyAlignment="1">
      <alignment horizontal="center" vertical="center" wrapText="1"/>
    </xf>
    <xf numFmtId="0" fontId="32" fillId="3" borderId="15" xfId="24" applyFont="1" applyFill="1" applyBorder="1" applyAlignment="1">
      <alignment horizontal="justify" vertical="center" wrapText="1"/>
    </xf>
    <xf numFmtId="0" fontId="32" fillId="3" borderId="12" xfId="24" applyFont="1" applyFill="1" applyBorder="1" applyAlignment="1">
      <alignment horizontal="center" vertical="center" wrapText="1"/>
    </xf>
    <xf numFmtId="0" fontId="32" fillId="3" borderId="15" xfId="24" applyFont="1" applyFill="1" applyBorder="1" applyAlignment="1">
      <alignment horizontal="center" vertical="center" wrapText="1"/>
    </xf>
    <xf numFmtId="0" fontId="32" fillId="10" borderId="15" xfId="24" applyFont="1" applyFill="1" applyBorder="1" applyAlignment="1">
      <alignment horizontal="center" vertical="center" wrapText="1"/>
    </xf>
    <xf numFmtId="0" fontId="32" fillId="10" borderId="34" xfId="24" applyFont="1" applyFill="1" applyBorder="1" applyAlignment="1">
      <alignment horizontal="center" vertical="center" wrapText="1"/>
    </xf>
    <xf numFmtId="0" fontId="32" fillId="32" borderId="12" xfId="24" applyFont="1" applyFill="1" applyBorder="1" applyAlignment="1">
      <alignment horizontal="center" vertical="center" wrapText="1"/>
    </xf>
    <xf numFmtId="0" fontId="32" fillId="32" borderId="15" xfId="24" applyFont="1" applyFill="1" applyBorder="1" applyAlignment="1">
      <alignment horizontal="center" vertical="center" wrapText="1"/>
    </xf>
    <xf numFmtId="0" fontId="32" fillId="3" borderId="21" xfId="24" applyFont="1" applyFill="1" applyBorder="1" applyAlignment="1">
      <alignment horizontal="center" vertical="center" wrapText="1"/>
    </xf>
    <xf numFmtId="0" fontId="33" fillId="0" borderId="15" xfId="24" applyFont="1" applyFill="1" applyBorder="1" applyAlignment="1">
      <alignment horizontal="justify" vertical="top" wrapText="1"/>
    </xf>
    <xf numFmtId="0" fontId="33" fillId="0" borderId="15" xfId="24" applyFont="1" applyFill="1" applyBorder="1" applyAlignment="1">
      <alignment horizontal="justify" vertical="center" wrapText="1"/>
    </xf>
    <xf numFmtId="0" fontId="33" fillId="0" borderId="34" xfId="24" applyFont="1" applyFill="1" applyBorder="1" applyAlignment="1">
      <alignment horizontal="justify" vertical="center" wrapText="1"/>
    </xf>
    <xf numFmtId="9" fontId="33" fillId="0" borderId="12" xfId="24" applyNumberFormat="1" applyFont="1" applyFill="1" applyBorder="1" applyAlignment="1">
      <alignment horizontal="center" vertical="center" wrapText="1"/>
    </xf>
    <xf numFmtId="9" fontId="33" fillId="0" borderId="15" xfId="24" applyNumberFormat="1" applyFont="1" applyFill="1" applyBorder="1" applyAlignment="1">
      <alignment horizontal="center" vertical="center" wrapText="1"/>
    </xf>
    <xf numFmtId="9" fontId="33" fillId="0" borderId="21" xfId="24" applyNumberFormat="1" applyFont="1" applyFill="1" applyBorder="1" applyAlignment="1">
      <alignment horizontal="center" vertical="center" wrapText="1"/>
    </xf>
    <xf numFmtId="0" fontId="33" fillId="0" borderId="12" xfId="24" applyFont="1" applyFill="1" applyBorder="1" applyAlignment="1">
      <alignment horizontal="center" vertical="center" wrapText="1"/>
    </xf>
    <xf numFmtId="0" fontId="33" fillId="0" borderId="15" xfId="24" applyFont="1" applyFill="1" applyBorder="1" applyAlignment="1">
      <alignment horizontal="center" vertical="center" wrapText="1"/>
    </xf>
    <xf numFmtId="0" fontId="33" fillId="0" borderId="21" xfId="24" applyFont="1" applyFill="1" applyBorder="1" applyAlignment="1">
      <alignment horizontal="center" vertical="center" wrapText="1"/>
    </xf>
    <xf numFmtId="0" fontId="33" fillId="3" borderId="27" xfId="24" applyFont="1" applyFill="1" applyBorder="1" applyAlignment="1">
      <alignment horizontal="justify" vertical="top" wrapText="1"/>
    </xf>
    <xf numFmtId="0" fontId="33" fillId="3" borderId="27" xfId="24" applyFont="1" applyFill="1" applyBorder="1" applyAlignment="1">
      <alignment horizontal="justify" vertical="center" wrapText="1"/>
    </xf>
    <xf numFmtId="0" fontId="33" fillId="3" borderId="10" xfId="24" applyFont="1" applyFill="1" applyBorder="1" applyAlignment="1">
      <alignment horizontal="justify" vertical="center" wrapText="1"/>
    </xf>
    <xf numFmtId="9" fontId="33" fillId="3" borderId="26" xfId="24" applyNumberFormat="1" applyFont="1" applyFill="1" applyBorder="1" applyAlignment="1">
      <alignment horizontal="center" vertical="center" wrapText="1"/>
    </xf>
    <xf numFmtId="9" fontId="33" fillId="3" borderId="27" xfId="26" applyFont="1" applyFill="1" applyBorder="1" applyAlignment="1">
      <alignment horizontal="center" vertical="center" wrapText="1"/>
    </xf>
    <xf numFmtId="9" fontId="33" fillId="10" borderId="27" xfId="26" applyFont="1" applyFill="1" applyBorder="1" applyAlignment="1">
      <alignment horizontal="center" vertical="center" wrapText="1"/>
    </xf>
    <xf numFmtId="9" fontId="33" fillId="10" borderId="10" xfId="26" applyFont="1" applyFill="1" applyBorder="1" applyAlignment="1">
      <alignment horizontal="center" vertical="center" wrapText="1"/>
    </xf>
    <xf numFmtId="9" fontId="33" fillId="32" borderId="12" xfId="26" applyFont="1" applyFill="1" applyBorder="1" applyAlignment="1">
      <alignment horizontal="center" vertical="center" wrapText="1"/>
    </xf>
    <xf numFmtId="9" fontId="33" fillId="32" borderId="15" xfId="26" applyFont="1" applyFill="1" applyBorder="1" applyAlignment="1">
      <alignment horizontal="center" vertical="center" wrapText="1"/>
    </xf>
    <xf numFmtId="9" fontId="33" fillId="3" borderId="28" xfId="26" applyFont="1" applyFill="1" applyBorder="1" applyAlignment="1">
      <alignment horizontal="center" vertical="center" wrapText="1"/>
    </xf>
    <xf numFmtId="0" fontId="33" fillId="3" borderId="35" xfId="24" applyFont="1" applyFill="1" applyBorder="1" applyAlignment="1">
      <alignment horizontal="center" vertical="center"/>
    </xf>
    <xf numFmtId="0" fontId="35" fillId="3" borderId="46" xfId="24" applyFont="1" applyFill="1" applyBorder="1" applyAlignment="1">
      <alignment horizontal="center" vertical="center" wrapText="1"/>
    </xf>
    <xf numFmtId="0" fontId="33" fillId="3" borderId="46" xfId="24" applyFont="1" applyFill="1" applyBorder="1" applyAlignment="1">
      <alignment horizontal="left" vertical="center" wrapText="1"/>
    </xf>
    <xf numFmtId="0" fontId="33" fillId="3" borderId="56" xfId="24" applyFont="1" applyFill="1" applyBorder="1" applyAlignment="1">
      <alignment horizontal="left" vertical="center" wrapText="1"/>
    </xf>
    <xf numFmtId="9" fontId="33" fillId="10" borderId="46" xfId="24" applyNumberFormat="1" applyFont="1" applyFill="1" applyBorder="1" applyAlignment="1">
      <alignment horizontal="center" vertical="center" wrapText="1"/>
    </xf>
    <xf numFmtId="9" fontId="33" fillId="10" borderId="46" xfId="24" applyNumberFormat="1" applyFont="1" applyFill="1" applyBorder="1" applyAlignment="1">
      <alignment horizontal="center" vertical="center" wrapText="1"/>
    </xf>
    <xf numFmtId="9" fontId="33" fillId="10" borderId="56" xfId="24" applyNumberFormat="1" applyFont="1" applyFill="1" applyBorder="1" applyAlignment="1">
      <alignment horizontal="center" vertical="center" wrapText="1"/>
    </xf>
    <xf numFmtId="9" fontId="33" fillId="10" borderId="27" xfId="24" applyNumberFormat="1" applyFont="1" applyFill="1" applyBorder="1" applyAlignment="1">
      <alignment horizontal="center" vertical="center" wrapText="1"/>
    </xf>
    <xf numFmtId="9" fontId="33" fillId="10" borderId="10" xfId="24" applyNumberFormat="1" applyFont="1" applyFill="1" applyBorder="1" applyAlignment="1">
      <alignment horizontal="center" vertical="center" wrapText="1"/>
    </xf>
    <xf numFmtId="0" fontId="33" fillId="3" borderId="46" xfId="24" applyFont="1" applyFill="1" applyBorder="1" applyAlignment="1">
      <alignment horizontal="justify" vertical="center"/>
    </xf>
    <xf numFmtId="9" fontId="33" fillId="0" borderId="35" xfId="24" applyNumberFormat="1" applyFont="1" applyFill="1" applyBorder="1" applyAlignment="1">
      <alignment horizontal="center" vertical="center" wrapText="1"/>
    </xf>
    <xf numFmtId="9" fontId="33" fillId="0" borderId="46" xfId="24" applyNumberFormat="1" applyFont="1" applyFill="1" applyBorder="1" applyAlignment="1">
      <alignment horizontal="center" vertical="center" wrapText="1"/>
    </xf>
    <xf numFmtId="9" fontId="33" fillId="0" borderId="36" xfId="24" applyNumberFormat="1" applyFont="1" applyFill="1" applyBorder="1" applyAlignment="1">
      <alignment horizontal="center" vertical="center" wrapText="1"/>
    </xf>
    <xf numFmtId="0" fontId="33" fillId="3" borderId="15" xfId="24" applyFont="1" applyFill="1" applyBorder="1" applyAlignment="1">
      <alignment horizontal="justify" vertical="center"/>
    </xf>
    <xf numFmtId="9" fontId="33" fillId="0" borderId="26" xfId="24" applyNumberFormat="1" applyFont="1" applyFill="1" applyBorder="1" applyAlignment="1">
      <alignment horizontal="center" vertical="center" wrapText="1"/>
    </xf>
    <xf numFmtId="9" fontId="33" fillId="0" borderId="27" xfId="24" applyNumberFormat="1" applyFont="1" applyFill="1" applyBorder="1" applyAlignment="1">
      <alignment horizontal="center" vertical="center" wrapText="1"/>
    </xf>
    <xf numFmtId="9" fontId="33" fillId="0" borderId="28" xfId="24" applyNumberFormat="1" applyFont="1" applyFill="1" applyBorder="1" applyAlignment="1">
      <alignment horizontal="center" vertical="center" wrapText="1"/>
    </xf>
    <xf numFmtId="0" fontId="33" fillId="3" borderId="46" xfId="24" applyFont="1" applyFill="1" applyBorder="1" applyAlignment="1">
      <alignment horizontal="justify" vertical="top"/>
    </xf>
    <xf numFmtId="9" fontId="33" fillId="3" borderId="35" xfId="24" applyNumberFormat="1" applyFont="1" applyFill="1" applyBorder="1" applyAlignment="1">
      <alignment horizontal="center" vertical="center" wrapText="1"/>
    </xf>
    <xf numFmtId="9" fontId="33" fillId="3" borderId="46" xfId="24" applyNumberFormat="1" applyFont="1" applyFill="1" applyBorder="1" applyAlignment="1">
      <alignment horizontal="center" vertical="center" wrapText="1"/>
    </xf>
    <xf numFmtId="9" fontId="33" fillId="3" borderId="36" xfId="24" applyNumberFormat="1" applyFont="1" applyFill="1" applyBorder="1" applyAlignment="1">
      <alignment horizontal="center" vertical="center" wrapText="1"/>
    </xf>
    <xf numFmtId="0" fontId="33" fillId="3" borderId="12" xfId="24" applyFont="1" applyFill="1" applyBorder="1" applyAlignment="1">
      <alignment horizontal="center" vertical="center"/>
    </xf>
    <xf numFmtId="0" fontId="33" fillId="3" borderId="15" xfId="24" applyFont="1" applyFill="1" applyBorder="1" applyAlignment="1">
      <alignment horizontal="center" vertical="center"/>
    </xf>
    <xf numFmtId="0" fontId="33" fillId="10" borderId="15" xfId="24" applyFont="1" applyFill="1" applyBorder="1" applyAlignment="1">
      <alignment horizontal="center" vertical="center"/>
    </xf>
    <xf numFmtId="0" fontId="33" fillId="10" borderId="34" xfId="24" applyFont="1" applyFill="1" applyBorder="1" applyAlignment="1">
      <alignment horizontal="center" vertical="center"/>
    </xf>
    <xf numFmtId="0" fontId="33" fillId="32" borderId="12" xfId="24" applyFont="1" applyFill="1" applyBorder="1" applyAlignment="1">
      <alignment horizontal="center" vertical="center"/>
    </xf>
    <xf numFmtId="0" fontId="33" fillId="32" borderId="15" xfId="24" applyFont="1" applyFill="1" applyBorder="1" applyAlignment="1">
      <alignment horizontal="center" vertical="center"/>
    </xf>
    <xf numFmtId="0" fontId="33" fillId="3" borderId="21" xfId="24" applyFont="1" applyFill="1" applyBorder="1" applyAlignment="1">
      <alignment horizontal="center" vertical="center"/>
    </xf>
    <xf numFmtId="0" fontId="33" fillId="3" borderId="15" xfId="24" applyFont="1" applyFill="1" applyBorder="1" applyAlignment="1">
      <alignment horizontal="justify" vertical="top"/>
    </xf>
    <xf numFmtId="0" fontId="33" fillId="3" borderId="15" xfId="24" applyFont="1" applyFill="1" applyBorder="1" applyAlignment="1">
      <alignment horizontal="left" vertical="center"/>
    </xf>
    <xf numFmtId="9" fontId="33" fillId="3" borderId="12" xfId="26" applyFont="1" applyFill="1" applyBorder="1" applyAlignment="1">
      <alignment horizontal="center" vertical="center" wrapText="1"/>
    </xf>
    <xf numFmtId="9" fontId="33" fillId="3" borderId="15" xfId="26" applyFont="1" applyFill="1" applyBorder="1" applyAlignment="1">
      <alignment horizontal="center" vertical="center" wrapText="1"/>
    </xf>
    <xf numFmtId="9" fontId="33" fillId="10" borderId="15" xfId="26" applyFont="1" applyFill="1" applyBorder="1" applyAlignment="1">
      <alignment horizontal="center" vertical="center" wrapText="1"/>
    </xf>
    <xf numFmtId="9" fontId="33" fillId="10" borderId="34" xfId="26" applyFont="1" applyFill="1" applyBorder="1" applyAlignment="1">
      <alignment horizontal="center" vertical="center" wrapText="1"/>
    </xf>
    <xf numFmtId="9" fontId="33" fillId="3" borderId="21" xfId="26" applyFont="1" applyFill="1" applyBorder="1" applyAlignment="1">
      <alignment horizontal="center" vertical="center" wrapText="1"/>
    </xf>
    <xf numFmtId="0" fontId="33" fillId="3" borderId="27" xfId="24" applyFont="1" applyFill="1" applyBorder="1" applyAlignment="1">
      <alignment horizontal="justify" vertical="center"/>
    </xf>
    <xf numFmtId="10" fontId="33" fillId="3" borderId="26" xfId="24" applyNumberFormat="1" applyFont="1" applyFill="1" applyBorder="1" applyAlignment="1">
      <alignment horizontal="center" vertical="center"/>
    </xf>
    <xf numFmtId="10" fontId="33" fillId="3" borderId="27" xfId="24" applyNumberFormat="1" applyFont="1" applyFill="1" applyBorder="1" applyAlignment="1">
      <alignment horizontal="center" vertical="center"/>
    </xf>
    <xf numFmtId="10" fontId="33" fillId="10" borderId="27" xfId="24" applyNumberFormat="1" applyFont="1" applyFill="1" applyBorder="1" applyAlignment="1">
      <alignment horizontal="center" vertical="center"/>
    </xf>
    <xf numFmtId="9" fontId="33" fillId="10" borderId="27" xfId="24" applyNumberFormat="1" applyFont="1" applyFill="1" applyBorder="1" applyAlignment="1">
      <alignment horizontal="center" vertical="center"/>
    </xf>
    <xf numFmtId="9" fontId="33" fillId="10" borderId="10" xfId="24" applyNumberFormat="1" applyFont="1" applyFill="1" applyBorder="1" applyAlignment="1">
      <alignment horizontal="center" vertical="center"/>
    </xf>
    <xf numFmtId="9" fontId="33" fillId="32" borderId="12" xfId="24" applyNumberFormat="1" applyFont="1" applyFill="1" applyBorder="1" applyAlignment="1">
      <alignment horizontal="center" vertical="center"/>
    </xf>
    <xf numFmtId="9" fontId="33" fillId="32" borderId="15" xfId="24" applyNumberFormat="1" applyFont="1" applyFill="1" applyBorder="1" applyAlignment="1">
      <alignment horizontal="center" vertical="center"/>
    </xf>
    <xf numFmtId="9" fontId="33" fillId="3" borderId="28" xfId="24" applyNumberFormat="1" applyFont="1" applyFill="1" applyBorder="1" applyAlignment="1">
      <alignment horizontal="center" vertical="center"/>
    </xf>
    <xf numFmtId="0" fontId="33" fillId="3" borderId="13" xfId="24" applyFont="1" applyFill="1" applyBorder="1" applyAlignment="1">
      <alignment horizontal="justify" vertical="center"/>
    </xf>
    <xf numFmtId="0" fontId="33" fillId="3" borderId="13" xfId="24" applyFont="1" applyFill="1" applyBorder="1" applyAlignment="1">
      <alignment horizontal="justify" vertical="center" wrapText="1"/>
    </xf>
    <xf numFmtId="0" fontId="33" fillId="3" borderId="33" xfId="24" applyFont="1" applyFill="1" applyBorder="1" applyAlignment="1">
      <alignment horizontal="justify" vertical="center" wrapText="1"/>
    </xf>
    <xf numFmtId="9" fontId="33" fillId="3" borderId="17" xfId="24" applyNumberFormat="1" applyFont="1" applyFill="1" applyBorder="1" applyAlignment="1">
      <alignment horizontal="center" vertical="center"/>
    </xf>
    <xf numFmtId="9" fontId="33" fillId="3" borderId="13" xfId="24" applyNumberFormat="1" applyFont="1" applyFill="1" applyBorder="1" applyAlignment="1">
      <alignment horizontal="center" vertical="center"/>
    </xf>
    <xf numFmtId="9" fontId="33" fillId="10" borderId="13" xfId="24" applyNumberFormat="1" applyFont="1" applyFill="1" applyBorder="1" applyAlignment="1">
      <alignment horizontal="center" vertical="center"/>
    </xf>
    <xf numFmtId="9" fontId="33" fillId="10" borderId="33" xfId="24" applyNumberFormat="1" applyFont="1" applyFill="1" applyBorder="1" applyAlignment="1">
      <alignment horizontal="center" vertical="center"/>
    </xf>
    <xf numFmtId="0" fontId="33" fillId="3" borderId="16" xfId="24" applyFont="1" applyFill="1" applyBorder="1" applyAlignment="1">
      <alignment horizontal="center" vertical="center"/>
    </xf>
    <xf numFmtId="9" fontId="33" fillId="3" borderId="12" xfId="24" applyNumberFormat="1" applyFont="1" applyFill="1" applyBorder="1" applyAlignment="1">
      <alignment horizontal="center" vertical="center"/>
    </xf>
    <xf numFmtId="9" fontId="33" fillId="3" borderId="15" xfId="24" applyNumberFormat="1" applyFont="1" applyFill="1" applyBorder="1" applyAlignment="1">
      <alignment horizontal="center" vertical="center"/>
    </xf>
    <xf numFmtId="9" fontId="33" fillId="10" borderId="15" xfId="24" applyNumberFormat="1" applyFont="1" applyFill="1" applyBorder="1" applyAlignment="1">
      <alignment horizontal="center" vertical="center"/>
    </xf>
    <xf numFmtId="9" fontId="33" fillId="10" borderId="34" xfId="24" applyNumberFormat="1" applyFont="1" applyFill="1" applyBorder="1" applyAlignment="1">
      <alignment horizontal="center" vertical="center"/>
    </xf>
    <xf numFmtId="9" fontId="33" fillId="3" borderId="21" xfId="26" applyFont="1" applyFill="1" applyBorder="1" applyAlignment="1">
      <alignment horizontal="center" vertical="center"/>
    </xf>
    <xf numFmtId="0" fontId="33" fillId="3" borderId="15" xfId="24" applyFont="1" applyFill="1" applyBorder="1" applyAlignment="1">
      <alignment horizontal="left" vertical="center" wrapText="1"/>
    </xf>
    <xf numFmtId="9" fontId="33" fillId="3" borderId="21" xfId="24" applyNumberFormat="1" applyFont="1" applyFill="1" applyBorder="1" applyAlignment="1">
      <alignment horizontal="center" vertical="center"/>
    </xf>
    <xf numFmtId="0" fontId="33" fillId="3" borderId="27" xfId="24" applyFont="1" applyFill="1" applyBorder="1" applyAlignment="1">
      <alignment vertical="top" wrapText="1"/>
    </xf>
    <xf numFmtId="9" fontId="33" fillId="3" borderId="26" xfId="24" applyNumberFormat="1" applyFont="1" applyFill="1" applyBorder="1" applyAlignment="1">
      <alignment horizontal="center" vertical="center"/>
    </xf>
    <xf numFmtId="9" fontId="33" fillId="3" borderId="27" xfId="24" applyNumberFormat="1" applyFont="1" applyFill="1" applyBorder="1" applyAlignment="1">
      <alignment horizontal="center" vertical="center"/>
    </xf>
    <xf numFmtId="9" fontId="33" fillId="32" borderId="26" xfId="24" applyNumberFormat="1" applyFont="1" applyFill="1" applyBorder="1" applyAlignment="1">
      <alignment horizontal="center" vertical="center"/>
    </xf>
    <xf numFmtId="9" fontId="33" fillId="32" borderId="27" xfId="24" applyNumberFormat="1" applyFont="1" applyFill="1" applyBorder="1" applyAlignment="1">
      <alignment horizontal="center" vertical="center"/>
    </xf>
    <xf numFmtId="0" fontId="88" fillId="3" borderId="0" xfId="24" applyFont="1" applyFill="1" applyAlignment="1">
      <alignment horizontal="justify" vertical="center"/>
    </xf>
    <xf numFmtId="0" fontId="88" fillId="3" borderId="0" xfId="24" applyFont="1" applyFill="1" applyAlignment="1">
      <alignment horizontal="justify" vertical="top"/>
    </xf>
    <xf numFmtId="0" fontId="7" fillId="3" borderId="0" xfId="24" applyFill="1" applyAlignment="1">
      <alignment horizontal="justify" vertical="center"/>
    </xf>
    <xf numFmtId="0" fontId="7" fillId="3" borderId="0" xfId="24" applyFill="1" applyAlignment="1">
      <alignment horizontal="justify" vertical="top"/>
    </xf>
    <xf numFmtId="9" fontId="7" fillId="3" borderId="0" xfId="26" applyFont="1" applyFill="1"/>
    <xf numFmtId="0" fontId="7" fillId="0" borderId="0" xfId="24" applyFill="1" applyAlignment="1">
      <alignment horizontal="justify" vertical="center"/>
    </xf>
    <xf numFmtId="0" fontId="7" fillId="0" borderId="0" xfId="24" applyFill="1" applyAlignment="1">
      <alignment horizontal="justify" vertical="top"/>
    </xf>
    <xf numFmtId="2" fontId="7" fillId="3" borderId="15" xfId="8" applyNumberFormat="1" applyFont="1" applyFill="1" applyBorder="1" applyAlignment="1">
      <alignment horizontal="center" vertical="center" wrapText="1"/>
    </xf>
    <xf numFmtId="2" fontId="7" fillId="15" borderId="15" xfId="1" applyNumberFormat="1" applyFont="1" applyFill="1" applyBorder="1" applyAlignment="1">
      <alignment horizontal="center" vertical="center" wrapText="1"/>
    </xf>
    <xf numFmtId="0" fontId="87" fillId="4" borderId="33" xfId="25" applyFont="1" applyFill="1" applyBorder="1" applyAlignment="1">
      <alignment horizontal="center" vertical="center" wrapText="1"/>
    </xf>
    <xf numFmtId="0" fontId="31" fillId="4" borderId="62" xfId="24" applyFont="1" applyFill="1" applyBorder="1" applyAlignment="1" applyProtection="1">
      <alignment horizontal="center" vertical="center" wrapText="1"/>
      <protection locked="0"/>
    </xf>
    <xf numFmtId="0" fontId="33" fillId="4" borderId="56" xfId="24" applyFont="1" applyFill="1" applyBorder="1" applyAlignment="1">
      <alignment horizontal="center" vertical="center" wrapText="1"/>
    </xf>
    <xf numFmtId="9" fontId="33" fillId="4" borderId="34" xfId="24" applyNumberFormat="1" applyFont="1" applyFill="1" applyBorder="1" applyAlignment="1">
      <alignment horizontal="center" vertical="center" wrapText="1"/>
    </xf>
    <xf numFmtId="0" fontId="33" fillId="4" borderId="34" xfId="24" applyNumberFormat="1" applyFont="1" applyFill="1" applyBorder="1" applyAlignment="1">
      <alignment horizontal="center" vertical="center" wrapText="1"/>
    </xf>
    <xf numFmtId="2" fontId="33" fillId="4" borderId="34" xfId="24" applyNumberFormat="1" applyFont="1" applyFill="1" applyBorder="1" applyAlignment="1">
      <alignment horizontal="center" vertical="center" wrapText="1"/>
    </xf>
    <xf numFmtId="0" fontId="33" fillId="4" borderId="34" xfId="24" applyFont="1" applyFill="1" applyBorder="1" applyAlignment="1">
      <alignment horizontal="center" vertical="center" wrapText="1"/>
    </xf>
    <xf numFmtId="176" fontId="33" fillId="4" borderId="34" xfId="24" applyNumberFormat="1" applyFont="1" applyFill="1" applyBorder="1" applyAlignment="1">
      <alignment horizontal="center" vertical="center" wrapText="1"/>
    </xf>
    <xf numFmtId="0" fontId="32" fillId="4" borderId="34" xfId="24" applyFont="1" applyFill="1" applyBorder="1" applyAlignment="1">
      <alignment horizontal="center" vertical="center" wrapText="1"/>
    </xf>
    <xf numFmtId="9" fontId="33" fillId="4" borderId="10" xfId="26" applyFont="1" applyFill="1" applyBorder="1" applyAlignment="1">
      <alignment horizontal="center" vertical="center" wrapText="1"/>
    </xf>
    <xf numFmtId="9" fontId="33" fillId="4" borderId="56" xfId="24" applyNumberFormat="1" applyFont="1" applyFill="1" applyBorder="1" applyAlignment="1">
      <alignment horizontal="center" vertical="center" wrapText="1"/>
    </xf>
    <xf numFmtId="0" fontId="33" fillId="4" borderId="34" xfId="24" applyFont="1" applyFill="1" applyBorder="1" applyAlignment="1">
      <alignment horizontal="center" vertical="center"/>
    </xf>
    <xf numFmtId="9" fontId="33" fillId="4" borderId="34" xfId="24" applyNumberFormat="1" applyFont="1" applyFill="1" applyBorder="1" applyAlignment="1">
      <alignment horizontal="center" vertical="center"/>
    </xf>
    <xf numFmtId="0" fontId="7" fillId="3" borderId="13" xfId="4" applyFill="1" applyBorder="1"/>
    <xf numFmtId="10" fontId="7" fillId="3" borderId="13" xfId="4" applyNumberFormat="1" applyFill="1" applyBorder="1"/>
    <xf numFmtId="0" fontId="33" fillId="4" borderId="56" xfId="24" applyNumberFormat="1" applyFont="1" applyFill="1" applyBorder="1" applyAlignment="1">
      <alignment horizontal="center" vertical="center" wrapText="1"/>
    </xf>
    <xf numFmtId="0" fontId="89" fillId="4" borderId="56" xfId="24" applyNumberFormat="1" applyFont="1" applyFill="1" applyBorder="1" applyAlignment="1">
      <alignment horizontal="center" vertical="center" wrapText="1"/>
    </xf>
    <xf numFmtId="9" fontId="89" fillId="4" borderId="34" xfId="24" applyNumberFormat="1" applyFont="1" applyFill="1" applyBorder="1" applyAlignment="1">
      <alignment horizontal="center" vertical="center"/>
    </xf>
    <xf numFmtId="0" fontId="89" fillId="4" borderId="34" xfId="26" applyNumberFormat="1" applyFont="1" applyFill="1" applyBorder="1" applyAlignment="1">
      <alignment horizontal="center" vertical="center" wrapText="1"/>
    </xf>
    <xf numFmtId="0" fontId="13" fillId="3" borderId="35" xfId="4" applyFont="1" applyFill="1" applyBorder="1" applyAlignment="1">
      <alignment horizontal="center" vertical="center" wrapText="1"/>
    </xf>
    <xf numFmtId="0" fontId="13" fillId="3" borderId="12" xfId="4" applyFont="1" applyFill="1" applyBorder="1" applyAlignment="1">
      <alignment horizontal="center" vertical="center" wrapText="1"/>
    </xf>
    <xf numFmtId="0" fontId="13" fillId="3" borderId="26" xfId="4" applyFont="1" applyFill="1" applyBorder="1" applyAlignment="1">
      <alignment horizontal="center" vertical="center" wrapText="1"/>
    </xf>
    <xf numFmtId="9" fontId="0" fillId="5" borderId="20" xfId="1" applyFont="1" applyFill="1" applyBorder="1" applyAlignment="1">
      <alignment horizontal="center" vertical="center"/>
    </xf>
    <xf numFmtId="9" fontId="0" fillId="5" borderId="13" xfId="1" applyFont="1" applyFill="1" applyBorder="1" applyAlignment="1">
      <alignment horizontal="center" vertical="center"/>
    </xf>
    <xf numFmtId="9" fontId="7" fillId="3" borderId="69" xfId="1" applyFont="1" applyFill="1" applyBorder="1" applyAlignment="1">
      <alignment horizontal="center" vertical="center"/>
    </xf>
    <xf numFmtId="0" fontId="14" fillId="10" borderId="15" xfId="3" applyFont="1" applyFill="1" applyBorder="1" applyAlignment="1">
      <alignment horizontal="center" vertical="center"/>
    </xf>
    <xf numFmtId="0" fontId="14" fillId="10" borderId="15" xfId="3" applyFont="1" applyFill="1" applyBorder="1" applyAlignment="1">
      <alignment horizontal="center" vertical="center" wrapText="1"/>
    </xf>
    <xf numFmtId="0" fontId="14" fillId="10" borderId="15" xfId="0" applyFont="1" applyFill="1" applyBorder="1" applyAlignment="1">
      <alignment vertical="center"/>
    </xf>
    <xf numFmtId="166" fontId="14" fillId="10" borderId="15" xfId="0" applyNumberFormat="1" applyFont="1" applyFill="1" applyBorder="1" applyAlignment="1">
      <alignment horizontal="center" vertical="center"/>
    </xf>
    <xf numFmtId="10" fontId="14" fillId="10" borderId="15" xfId="0" applyNumberFormat="1" applyFont="1" applyFill="1" applyBorder="1" applyAlignment="1">
      <alignment horizontal="center" vertical="center"/>
    </xf>
    <xf numFmtId="0" fontId="14" fillId="10" borderId="15" xfId="0" applyFont="1" applyFill="1" applyBorder="1" applyAlignment="1">
      <alignment wrapText="1"/>
    </xf>
    <xf numFmtId="0" fontId="0" fillId="10" borderId="15" xfId="0" applyFill="1" applyBorder="1" applyAlignment="1">
      <alignment wrapText="1"/>
    </xf>
    <xf numFmtId="10" fontId="14" fillId="10" borderId="15" xfId="1" applyNumberFormat="1" applyFont="1" applyFill="1" applyBorder="1" applyAlignment="1">
      <alignment horizontal="center" vertical="center" wrapText="1"/>
    </xf>
    <xf numFmtId="0" fontId="14" fillId="10" borderId="15" xfId="4" applyFont="1" applyFill="1" applyBorder="1" applyAlignment="1">
      <alignment wrapText="1"/>
    </xf>
    <xf numFmtId="166" fontId="14" fillId="10" borderId="15" xfId="1" applyNumberFormat="1" applyFont="1" applyFill="1" applyBorder="1" applyAlignment="1">
      <alignment horizontal="center" wrapText="1"/>
    </xf>
    <xf numFmtId="0" fontId="14" fillId="8" borderId="15" xfId="3" applyFont="1" applyFill="1" applyBorder="1" applyAlignment="1">
      <alignment horizontal="center" vertical="center"/>
    </xf>
    <xf numFmtId="0" fontId="14" fillId="8" borderId="15" xfId="3" applyFont="1" applyFill="1" applyBorder="1" applyAlignment="1">
      <alignment horizontal="center" vertical="center" wrapText="1"/>
    </xf>
    <xf numFmtId="0" fontId="14" fillId="8" borderId="15" xfId="0" applyFont="1" applyFill="1" applyBorder="1" applyAlignment="1">
      <alignment vertical="center"/>
    </xf>
    <xf numFmtId="166" fontId="14" fillId="8" borderId="15" xfId="0" applyNumberFormat="1" applyFont="1" applyFill="1" applyBorder="1" applyAlignment="1">
      <alignment horizontal="center" vertical="center"/>
    </xf>
    <xf numFmtId="0" fontId="14" fillId="8" borderId="15" xfId="0" applyFont="1" applyFill="1" applyBorder="1" applyAlignment="1">
      <alignment wrapText="1"/>
    </xf>
    <xf numFmtId="0" fontId="0" fillId="8" borderId="15" xfId="0" applyFill="1" applyBorder="1" applyAlignment="1">
      <alignment wrapText="1"/>
    </xf>
    <xf numFmtId="10" fontId="14" fillId="8" borderId="15" xfId="1" applyNumberFormat="1" applyFont="1" applyFill="1" applyBorder="1" applyAlignment="1">
      <alignment horizontal="center" vertical="center" wrapText="1"/>
    </xf>
    <xf numFmtId="10" fontId="14" fillId="8" borderId="15" xfId="0" applyNumberFormat="1" applyFont="1" applyFill="1" applyBorder="1" applyAlignment="1">
      <alignment horizontal="center" vertical="center"/>
    </xf>
    <xf numFmtId="9" fontId="14" fillId="8" borderId="15" xfId="0" applyNumberFormat="1" applyFont="1" applyFill="1" applyBorder="1" applyAlignment="1">
      <alignment horizontal="center" vertical="center"/>
    </xf>
    <xf numFmtId="9" fontId="3" fillId="9" borderId="15" xfId="1" applyFont="1" applyFill="1" applyBorder="1" applyAlignment="1" applyProtection="1">
      <alignment horizontal="center" vertical="center" wrapText="1"/>
      <protection locked="0"/>
    </xf>
    <xf numFmtId="0" fontId="90" fillId="0" borderId="23" xfId="3" applyFont="1" applyFill="1" applyBorder="1" applyAlignment="1" applyProtection="1">
      <alignment horizontal="justify" vertical="center" wrapText="1"/>
      <protection locked="0"/>
    </xf>
    <xf numFmtId="0" fontId="91" fillId="0" borderId="20" xfId="3" applyFont="1" applyFill="1" applyBorder="1" applyAlignment="1" applyProtection="1">
      <alignment horizontal="center" vertical="center" wrapText="1"/>
      <protection locked="0"/>
    </xf>
    <xf numFmtId="9" fontId="91" fillId="0" borderId="20" xfId="3" applyNumberFormat="1" applyFont="1" applyFill="1" applyBorder="1" applyAlignment="1" applyProtection="1">
      <alignment horizontal="center" vertical="center" wrapText="1"/>
      <protection locked="0"/>
    </xf>
    <xf numFmtId="9" fontId="92" fillId="0" borderId="20" xfId="3" applyNumberFormat="1" applyFont="1" applyFill="1" applyBorder="1" applyAlignment="1" applyProtection="1">
      <alignment horizontal="center" vertical="center" wrapText="1"/>
      <protection locked="0"/>
    </xf>
    <xf numFmtId="169" fontId="92" fillId="0" borderId="20" xfId="10" applyNumberFormat="1" applyFont="1" applyFill="1" applyBorder="1" applyAlignment="1" applyProtection="1">
      <alignment horizontal="center" vertical="center" wrapText="1"/>
      <protection locked="0"/>
    </xf>
    <xf numFmtId="0" fontId="3" fillId="0" borderId="20" xfId="10" applyFont="1" applyFill="1" applyBorder="1" applyAlignment="1" applyProtection="1">
      <alignment horizontal="center" vertical="center" wrapText="1"/>
    </xf>
    <xf numFmtId="169" fontId="3" fillId="0" borderId="20" xfId="10" applyNumberFormat="1" applyFont="1" applyFill="1" applyBorder="1" applyAlignment="1" applyProtection="1">
      <alignment horizontal="center" vertical="center" wrapText="1"/>
    </xf>
    <xf numFmtId="0" fontId="7" fillId="0" borderId="20" xfId="3" applyFill="1" applyBorder="1"/>
    <xf numFmtId="9" fontId="91" fillId="0" borderId="20" xfId="3" applyNumberFormat="1" applyFont="1" applyFill="1" applyBorder="1" applyAlignment="1" applyProtection="1">
      <alignment horizontal="justify" vertical="center" wrapText="1"/>
      <protection locked="0"/>
    </xf>
    <xf numFmtId="0" fontId="91" fillId="0" borderId="25" xfId="3" applyFont="1" applyFill="1" applyBorder="1" applyAlignment="1" applyProtection="1">
      <alignment horizontal="center" vertical="center" wrapText="1"/>
      <protection locked="0"/>
    </xf>
    <xf numFmtId="166" fontId="0" fillId="3" borderId="20" xfId="1" applyNumberFormat="1" applyFont="1" applyFill="1" applyBorder="1" applyAlignment="1">
      <alignment horizontal="center" vertical="center"/>
    </xf>
    <xf numFmtId="166" fontId="0" fillId="3" borderId="13" xfId="1" applyNumberFormat="1" applyFont="1" applyFill="1" applyBorder="1" applyAlignment="1">
      <alignment horizontal="center" vertical="center"/>
    </xf>
    <xf numFmtId="0" fontId="0" fillId="3" borderId="23" xfId="0" applyFill="1" applyBorder="1" applyAlignment="1">
      <alignment horizontal="center" vertical="center"/>
    </xf>
    <xf numFmtId="0" fontId="0" fillId="3" borderId="17" xfId="0" applyFill="1" applyBorder="1" applyAlignment="1">
      <alignment horizontal="center" vertical="center"/>
    </xf>
    <xf numFmtId="0" fontId="13" fillId="3" borderId="22" xfId="0" applyFont="1" applyFill="1" applyBorder="1" applyAlignment="1">
      <alignment horizontal="center" vertical="center" wrapText="1"/>
    </xf>
    <xf numFmtId="0" fontId="13" fillId="3" borderId="18" xfId="0" applyFont="1" applyFill="1" applyBorder="1" applyAlignment="1">
      <alignment horizontal="center" vertical="center" wrapText="1"/>
    </xf>
    <xf numFmtId="9" fontId="12" fillId="3" borderId="25" xfId="0" applyNumberFormat="1" applyFont="1" applyFill="1" applyBorder="1" applyAlignment="1">
      <alignment horizontal="center" vertical="center" wrapText="1"/>
    </xf>
    <xf numFmtId="9" fontId="12" fillId="3" borderId="16" xfId="0" applyNumberFormat="1" applyFont="1" applyFill="1" applyBorder="1" applyAlignment="1">
      <alignment horizontal="center" vertical="center" wrapText="1"/>
    </xf>
    <xf numFmtId="0" fontId="12" fillId="3" borderId="20" xfId="2" applyFont="1" applyFill="1" applyBorder="1" applyAlignment="1">
      <alignment vertical="center" wrapText="1"/>
    </xf>
    <xf numFmtId="0" fontId="12" fillId="3" borderId="13" xfId="2" applyFont="1" applyFill="1" applyBorder="1" applyAlignment="1">
      <alignment vertical="center" wrapText="1"/>
    </xf>
    <xf numFmtId="0" fontId="12" fillId="3" borderId="20"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0" borderId="10" xfId="0" applyFont="1" applyFill="1" applyBorder="1" applyAlignment="1">
      <alignment horizontal="center" vertical="center" textRotation="90"/>
    </xf>
    <xf numFmtId="0" fontId="11" fillId="0" borderId="11" xfId="0" applyFont="1" applyFill="1" applyBorder="1" applyAlignment="1">
      <alignment horizontal="center" vertical="center" textRotation="90"/>
    </xf>
    <xf numFmtId="0" fontId="11" fillId="0" borderId="8" xfId="0" applyFont="1" applyFill="1" applyBorder="1" applyAlignment="1">
      <alignment horizontal="center" vertical="center" textRotation="90"/>
    </xf>
    <xf numFmtId="0" fontId="11" fillId="0" borderId="9" xfId="0" applyFont="1" applyFill="1" applyBorder="1" applyAlignment="1">
      <alignment horizontal="center" vertical="center" textRotation="9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9" fontId="9" fillId="0" borderId="3" xfId="1" applyNumberFormat="1" applyFont="1" applyBorder="1" applyAlignment="1">
      <alignment horizontal="center" vertical="center" wrapText="1"/>
    </xf>
    <xf numFmtId="9" fontId="9" fillId="0" borderId="5" xfId="1" applyNumberFormat="1" applyFont="1" applyBorder="1" applyAlignment="1">
      <alignment horizontal="center" vertical="center" wrapText="1"/>
    </xf>
    <xf numFmtId="0" fontId="11" fillId="0" borderId="32" xfId="0" applyFont="1" applyFill="1" applyBorder="1" applyAlignment="1">
      <alignment horizontal="center" vertical="center" textRotation="90"/>
    </xf>
    <xf numFmtId="0" fontId="0" fillId="0" borderId="13" xfId="0" applyFill="1" applyBorder="1" applyAlignment="1">
      <alignment horizontal="center" vertical="center"/>
    </xf>
    <xf numFmtId="0" fontId="0" fillId="4" borderId="13" xfId="0" applyFill="1" applyBorder="1" applyAlignment="1">
      <alignment horizontal="center" vertical="center"/>
    </xf>
    <xf numFmtId="0" fontId="0" fillId="13" borderId="30" xfId="0" applyFill="1" applyBorder="1" applyAlignment="1">
      <alignment horizontal="center" vertical="center"/>
    </xf>
    <xf numFmtId="0" fontId="0" fillId="13" borderId="13" xfId="0" applyFill="1" applyBorder="1" applyAlignment="1">
      <alignment horizontal="center" vertical="center"/>
    </xf>
    <xf numFmtId="0" fontId="0" fillId="4" borderId="33" xfId="0" applyFill="1" applyBorder="1" applyAlignment="1">
      <alignment horizontal="center" vertical="center"/>
    </xf>
    <xf numFmtId="0" fontId="0" fillId="0" borderId="15" xfId="0" applyFill="1" applyBorder="1" applyAlignment="1">
      <alignment horizontal="center" vertical="center"/>
    </xf>
    <xf numFmtId="0" fontId="0" fillId="4" borderId="15" xfId="0" applyFill="1" applyBorder="1" applyAlignment="1">
      <alignment horizontal="center" vertical="center"/>
    </xf>
    <xf numFmtId="0" fontId="0" fillId="4" borderId="34" xfId="0" applyFill="1" applyBorder="1" applyAlignment="1">
      <alignment horizontal="center" vertical="center"/>
    </xf>
    <xf numFmtId="0" fontId="12" fillId="3" borderId="23" xfId="2" applyFont="1" applyFill="1" applyBorder="1" applyAlignment="1">
      <alignment horizontal="left" vertical="center" wrapText="1"/>
    </xf>
    <xf numFmtId="0" fontId="12" fillId="3" borderId="58" xfId="2" applyFont="1" applyFill="1" applyBorder="1" applyAlignment="1">
      <alignment horizontal="left" vertical="center" wrapText="1"/>
    </xf>
    <xf numFmtId="0" fontId="12" fillId="3" borderId="17" xfId="2" applyFont="1" applyFill="1" applyBorder="1" applyAlignment="1">
      <alignment horizontal="left" vertical="center" wrapText="1"/>
    </xf>
    <xf numFmtId="9" fontId="12" fillId="3" borderId="20" xfId="0" applyNumberFormat="1" applyFont="1" applyFill="1" applyBorder="1" applyAlignment="1">
      <alignment horizontal="center" vertical="center" wrapText="1"/>
    </xf>
    <xf numFmtId="9" fontId="12" fillId="3" borderId="19"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0" fontId="0" fillId="0" borderId="37" xfId="0" applyFill="1" applyBorder="1" applyAlignment="1">
      <alignment horizontal="center" vertical="center"/>
    </xf>
    <xf numFmtId="0" fontId="0" fillId="13" borderId="15" xfId="0" applyFill="1" applyBorder="1" applyAlignment="1">
      <alignment horizontal="center" vertical="center"/>
    </xf>
    <xf numFmtId="9" fontId="12" fillId="3" borderId="25" xfId="2" applyNumberFormat="1" applyFont="1" applyFill="1" applyBorder="1" applyAlignment="1">
      <alignment horizontal="center" vertical="center" wrapText="1"/>
    </xf>
    <xf numFmtId="9" fontId="12" fillId="3" borderId="16" xfId="2" applyNumberFormat="1" applyFont="1" applyFill="1" applyBorder="1" applyAlignment="1">
      <alignment horizontal="center" vertical="center" wrapText="1"/>
    </xf>
    <xf numFmtId="0" fontId="12" fillId="3" borderId="31"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3" borderId="19" xfId="2" applyFont="1" applyFill="1" applyBorder="1" applyAlignment="1">
      <alignment horizontal="left" vertical="center" wrapText="1"/>
    </xf>
    <xf numFmtId="0" fontId="13" fillId="3" borderId="38" xfId="0" applyFont="1" applyFill="1" applyBorder="1" applyAlignment="1">
      <alignment horizontal="center" vertical="center" wrapText="1"/>
    </xf>
    <xf numFmtId="0" fontId="13" fillId="3" borderId="24" xfId="0" applyFont="1" applyFill="1" applyBorder="1" applyAlignment="1">
      <alignment horizontal="center" vertical="center" wrapText="1"/>
    </xf>
    <xf numFmtId="9" fontId="12" fillId="3" borderId="20" xfId="2" applyNumberFormat="1" applyFont="1" applyFill="1" applyBorder="1" applyAlignment="1">
      <alignment horizontal="center" vertical="center" wrapText="1"/>
    </xf>
    <xf numFmtId="9" fontId="12" fillId="3" borderId="13" xfId="2" applyNumberFormat="1" applyFont="1" applyFill="1" applyBorder="1" applyAlignment="1">
      <alignment horizontal="center" vertical="center" wrapText="1"/>
    </xf>
    <xf numFmtId="9" fontId="12" fillId="3" borderId="20" xfId="2" applyNumberFormat="1" applyFont="1" applyFill="1" applyBorder="1" applyAlignment="1">
      <alignment horizontal="left" vertical="center" wrapText="1"/>
    </xf>
    <xf numFmtId="9" fontId="12" fillId="3" borderId="13" xfId="2" applyNumberFormat="1" applyFont="1" applyFill="1" applyBorder="1" applyAlignment="1">
      <alignment horizontal="left" vertical="center" wrapText="1"/>
    </xf>
    <xf numFmtId="0" fontId="12" fillId="3" borderId="20" xfId="2" applyFont="1" applyFill="1" applyBorder="1" applyAlignment="1">
      <alignment horizontal="justify" vertical="center" wrapText="1"/>
    </xf>
    <xf numFmtId="0" fontId="12" fillId="3" borderId="13" xfId="2" applyFont="1" applyFill="1" applyBorder="1" applyAlignment="1">
      <alignment horizontal="justify" vertical="center" wrapText="1"/>
    </xf>
    <xf numFmtId="0" fontId="0" fillId="0" borderId="34" xfId="0" applyFill="1" applyBorder="1" applyAlignment="1">
      <alignment horizontal="center" vertical="center"/>
    </xf>
    <xf numFmtId="0" fontId="0" fillId="3" borderId="15" xfId="0" applyFill="1" applyBorder="1" applyAlignment="1">
      <alignment horizontal="center" vertical="center"/>
    </xf>
    <xf numFmtId="0" fontId="12" fillId="3" borderId="23" xfId="0" applyFont="1" applyFill="1" applyBorder="1" applyAlignment="1">
      <alignment horizontal="left" vertical="center" wrapText="1"/>
    </xf>
    <xf numFmtId="0" fontId="12" fillId="3" borderId="61" xfId="0" applyFont="1" applyFill="1" applyBorder="1" applyAlignment="1">
      <alignment horizontal="left" vertical="center" wrapText="1"/>
    </xf>
    <xf numFmtId="0" fontId="0" fillId="13" borderId="37" xfId="0" applyFill="1" applyBorder="1" applyAlignment="1">
      <alignment horizontal="center" vertical="center"/>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3" borderId="27" xfId="0" applyFill="1" applyBorder="1" applyAlignment="1">
      <alignment horizontal="center" vertical="center"/>
    </xf>
    <xf numFmtId="0" fontId="0" fillId="13" borderId="27" xfId="0" applyFill="1" applyBorder="1" applyAlignment="1">
      <alignment horizontal="center" vertical="center"/>
    </xf>
    <xf numFmtId="0" fontId="0" fillId="4" borderId="27"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43" xfId="0" applyFill="1" applyBorder="1" applyAlignment="1">
      <alignment horizontal="center" vertical="center"/>
    </xf>
    <xf numFmtId="0" fontId="0" fillId="3" borderId="33" xfId="0" applyFill="1" applyBorder="1" applyAlignment="1">
      <alignment horizontal="center" vertical="center"/>
    </xf>
    <xf numFmtId="0" fontId="0" fillId="3" borderId="10" xfId="0" applyFill="1" applyBorder="1" applyAlignment="1">
      <alignment horizontal="center" vertical="center"/>
    </xf>
    <xf numFmtId="0" fontId="7" fillId="3" borderId="20" xfId="0" applyFont="1" applyFill="1" applyBorder="1" applyAlignment="1">
      <alignment horizontal="center" vertical="center" wrapText="1"/>
    </xf>
    <xf numFmtId="0" fontId="0" fillId="3" borderId="13" xfId="0" applyFill="1" applyBorder="1" applyAlignment="1">
      <alignment horizontal="center" vertical="center" wrapText="1"/>
    </xf>
    <xf numFmtId="166" fontId="0" fillId="3" borderId="20" xfId="0" applyNumberFormat="1" applyFill="1" applyBorder="1" applyAlignment="1">
      <alignment horizontal="center" vertical="center"/>
    </xf>
    <xf numFmtId="166" fontId="0" fillId="3" borderId="13" xfId="0" applyNumberFormat="1" applyFill="1" applyBorder="1" applyAlignment="1">
      <alignment horizontal="center" vertical="center"/>
    </xf>
    <xf numFmtId="9" fontId="0" fillId="3" borderId="20" xfId="0" applyNumberFormat="1" applyFill="1" applyBorder="1" applyAlignment="1">
      <alignment horizontal="center" vertical="center"/>
    </xf>
    <xf numFmtId="9" fontId="0" fillId="3" borderId="13" xfId="0" applyNumberFormat="1" applyFill="1" applyBorder="1" applyAlignment="1">
      <alignment horizontal="center" vertical="center"/>
    </xf>
    <xf numFmtId="0" fontId="7"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10" fontId="0" fillId="5" borderId="20" xfId="1" applyNumberFormat="1" applyFont="1" applyFill="1" applyBorder="1" applyAlignment="1">
      <alignment horizontal="center" vertical="center"/>
    </xf>
    <xf numFmtId="10" fontId="0" fillId="5" borderId="13" xfId="1" applyNumberFormat="1" applyFont="1" applyFill="1" applyBorder="1" applyAlignment="1">
      <alignment horizontal="center" vertical="center"/>
    </xf>
    <xf numFmtId="0" fontId="9" fillId="0" borderId="46"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46" xfId="4" applyFont="1" applyFill="1" applyBorder="1" applyAlignment="1">
      <alignment horizontal="center" vertical="center"/>
    </xf>
    <xf numFmtId="0" fontId="11" fillId="0" borderId="20" xfId="4" applyFont="1" applyFill="1" applyBorder="1" applyAlignment="1">
      <alignment horizontal="center" vertical="center" textRotation="90"/>
    </xf>
    <xf numFmtId="9" fontId="9" fillId="0" borderId="46" xfId="1" applyNumberFormat="1" applyFont="1" applyBorder="1" applyAlignment="1">
      <alignment horizontal="center" vertical="center" wrapText="1"/>
    </xf>
    <xf numFmtId="9" fontId="9" fillId="0" borderId="20" xfId="1" applyNumberFormat="1" applyFont="1" applyBorder="1" applyAlignment="1">
      <alignment horizontal="center" vertical="center" wrapText="1"/>
    </xf>
    <xf numFmtId="0" fontId="7" fillId="0" borderId="46" xfId="4" applyFill="1" applyBorder="1" applyAlignment="1">
      <alignment horizontal="center"/>
    </xf>
    <xf numFmtId="0" fontId="7" fillId="4" borderId="46" xfId="4" applyFill="1" applyBorder="1" applyAlignment="1">
      <alignment horizontal="center" vertical="center"/>
    </xf>
    <xf numFmtId="0" fontId="7" fillId="3" borderId="46" xfId="4" applyFill="1" applyBorder="1" applyAlignment="1">
      <alignment horizontal="center"/>
    </xf>
    <xf numFmtId="0" fontId="7" fillId="33" borderId="56" xfId="4" applyFill="1" applyBorder="1" applyAlignment="1">
      <alignment horizontal="center" vertical="center"/>
    </xf>
    <xf numFmtId="0" fontId="7" fillId="33" borderId="44" xfId="4" applyFill="1" applyBorder="1" applyAlignment="1">
      <alignment horizontal="center" vertical="center"/>
    </xf>
    <xf numFmtId="0" fontId="7" fillId="13" borderId="46" xfId="4" applyFill="1" applyBorder="1" applyAlignment="1">
      <alignment horizontal="center" vertical="center"/>
    </xf>
    <xf numFmtId="0" fontId="7" fillId="3" borderId="36" xfId="4" applyFill="1" applyBorder="1" applyAlignment="1">
      <alignment horizontal="center"/>
    </xf>
    <xf numFmtId="0" fontId="7" fillId="0" borderId="15" xfId="4" applyFill="1" applyBorder="1" applyAlignment="1">
      <alignment horizontal="center"/>
    </xf>
    <xf numFmtId="0" fontId="7" fillId="0" borderId="34" xfId="4" applyFill="1" applyBorder="1" applyAlignment="1">
      <alignment horizontal="center"/>
    </xf>
    <xf numFmtId="0" fontId="7" fillId="4" borderId="15" xfId="4" applyFill="1" applyBorder="1" applyAlignment="1">
      <alignment horizontal="center" vertical="center"/>
    </xf>
    <xf numFmtId="0" fontId="7" fillId="3" borderId="15" xfId="2" applyFont="1" applyFill="1" applyBorder="1" applyAlignment="1">
      <alignment horizontal="left" vertical="center" wrapText="1"/>
    </xf>
    <xf numFmtId="9" fontId="7" fillId="3" borderId="15" xfId="4" applyNumberFormat="1" applyFont="1" applyFill="1" applyBorder="1" applyAlignment="1">
      <alignment horizontal="center" vertical="center" wrapText="1"/>
    </xf>
    <xf numFmtId="9" fontId="7" fillId="3" borderId="15" xfId="4" applyNumberFormat="1" applyFont="1" applyFill="1" applyBorder="1" applyAlignment="1">
      <alignment horizontal="left" vertical="center" wrapText="1"/>
    </xf>
    <xf numFmtId="0" fontId="13" fillId="0" borderId="15" xfId="4" applyFont="1" applyFill="1" applyBorder="1" applyAlignment="1">
      <alignment horizontal="center" vertical="center" wrapText="1"/>
    </xf>
    <xf numFmtId="0" fontId="7" fillId="3" borderId="15" xfId="4" applyFill="1" applyBorder="1" applyAlignment="1">
      <alignment horizontal="center"/>
    </xf>
    <xf numFmtId="0" fontId="7" fillId="0" borderId="15" xfId="4" applyFill="1" applyBorder="1" applyAlignment="1">
      <alignment horizontal="center" vertical="center"/>
    </xf>
    <xf numFmtId="9" fontId="7" fillId="3" borderId="15" xfId="2" applyNumberFormat="1" applyFont="1" applyFill="1" applyBorder="1" applyAlignment="1">
      <alignment horizontal="center" vertical="center" wrapText="1"/>
    </xf>
    <xf numFmtId="0" fontId="7" fillId="3" borderId="46" xfId="2" applyFont="1" applyFill="1" applyBorder="1" applyAlignment="1">
      <alignment horizontal="left" vertical="center" wrapText="1"/>
    </xf>
    <xf numFmtId="0" fontId="13" fillId="0" borderId="46" xfId="4" applyFont="1" applyFill="1" applyBorder="1" applyAlignment="1">
      <alignment horizontal="center" vertical="center" wrapText="1"/>
    </xf>
    <xf numFmtId="9" fontId="7" fillId="3" borderId="15" xfId="2" applyNumberFormat="1" applyFont="1" applyFill="1" applyBorder="1" applyAlignment="1">
      <alignment horizontal="left" vertical="center" wrapText="1"/>
    </xf>
    <xf numFmtId="0" fontId="7" fillId="3" borderId="34" xfId="4" applyFill="1" applyBorder="1" applyAlignment="1">
      <alignment horizontal="center"/>
    </xf>
    <xf numFmtId="0" fontId="7" fillId="0" borderId="37" xfId="4" applyFill="1" applyBorder="1" applyAlignment="1">
      <alignment horizontal="center"/>
    </xf>
    <xf numFmtId="0" fontId="7" fillId="3" borderId="15" xfId="2" applyFont="1" applyFill="1" applyBorder="1" applyAlignment="1">
      <alignment vertical="center" wrapText="1"/>
    </xf>
    <xf numFmtId="0" fontId="7" fillId="33" borderId="34" xfId="4" applyFill="1" applyBorder="1" applyAlignment="1">
      <alignment horizontal="center" vertical="center"/>
    </xf>
    <xf numFmtId="0" fontId="7" fillId="33" borderId="37" xfId="4" applyFill="1" applyBorder="1" applyAlignment="1">
      <alignment horizontal="center" vertical="center"/>
    </xf>
    <xf numFmtId="0" fontId="7" fillId="33" borderId="15" xfId="4" applyFill="1" applyBorder="1" applyAlignment="1">
      <alignment horizontal="center" vertical="center"/>
    </xf>
    <xf numFmtId="0" fontId="7" fillId="13" borderId="15" xfId="4" applyFill="1" applyBorder="1" applyAlignment="1">
      <alignment horizontal="center" vertical="center"/>
    </xf>
    <xf numFmtId="0" fontId="7" fillId="4" borderId="34" xfId="4" applyFill="1" applyBorder="1" applyAlignment="1">
      <alignment horizontal="center" vertical="center"/>
    </xf>
    <xf numFmtId="0" fontId="7" fillId="3" borderId="15" xfId="4" applyFont="1" applyFill="1" applyBorder="1" applyAlignment="1">
      <alignment horizontal="left" vertical="center" wrapText="1"/>
    </xf>
    <xf numFmtId="0" fontId="7" fillId="3" borderId="27" xfId="4" applyFont="1" applyFill="1" applyBorder="1" applyAlignment="1">
      <alignment horizontal="left" vertical="center" wrapText="1"/>
    </xf>
    <xf numFmtId="0" fontId="7" fillId="4" borderId="27" xfId="4" applyFill="1" applyBorder="1" applyAlignment="1">
      <alignment horizontal="center" vertical="center"/>
    </xf>
    <xf numFmtId="0" fontId="7" fillId="0" borderId="27" xfId="4" applyFill="1" applyBorder="1" applyAlignment="1">
      <alignment horizontal="center"/>
    </xf>
    <xf numFmtId="0" fontId="7" fillId="3" borderId="27" xfId="4" applyFill="1" applyBorder="1" applyAlignment="1">
      <alignment horizontal="center"/>
    </xf>
    <xf numFmtId="0" fontId="7" fillId="0" borderId="27" xfId="4" applyFill="1" applyBorder="1" applyAlignment="1">
      <alignment horizontal="center" vertical="center"/>
    </xf>
    <xf numFmtId="0" fontId="7" fillId="13" borderId="27" xfId="4" applyFill="1" applyBorder="1" applyAlignment="1">
      <alignment horizontal="center" vertical="center"/>
    </xf>
    <xf numFmtId="0" fontId="7" fillId="3" borderId="10" xfId="4" applyFill="1" applyBorder="1" applyAlignment="1">
      <alignment horizontal="center"/>
    </xf>
    <xf numFmtId="0" fontId="15" fillId="0" borderId="45" xfId="4" applyFont="1" applyBorder="1" applyAlignment="1">
      <alignment horizontal="center" vertical="center" wrapText="1"/>
    </xf>
    <xf numFmtId="0" fontId="15" fillId="0" borderId="11"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26" xfId="4" applyFont="1" applyBorder="1" applyAlignment="1">
      <alignment horizontal="center" vertical="center" wrapText="1"/>
    </xf>
    <xf numFmtId="9" fontId="15" fillId="0" borderId="46" xfId="1" applyNumberFormat="1" applyFont="1" applyBorder="1" applyAlignment="1">
      <alignment horizontal="center" vertical="center" wrapText="1"/>
    </xf>
    <xf numFmtId="9" fontId="15" fillId="0" borderId="27" xfId="1" applyNumberFormat="1" applyFont="1" applyBorder="1" applyAlignment="1">
      <alignment horizontal="center" vertical="center" wrapText="1"/>
    </xf>
    <xf numFmtId="0" fontId="17" fillId="0" borderId="46" xfId="4" applyFont="1" applyFill="1" applyBorder="1" applyAlignment="1">
      <alignment horizontal="center" vertical="center"/>
    </xf>
    <xf numFmtId="0" fontId="17" fillId="0" borderId="36" xfId="4" applyFont="1" applyFill="1" applyBorder="1" applyAlignment="1">
      <alignment horizontal="center" vertical="center"/>
    </xf>
    <xf numFmtId="0" fontId="18" fillId="0" borderId="27" xfId="4" applyFont="1" applyFill="1" applyBorder="1" applyAlignment="1">
      <alignment horizontal="center" vertical="center" textRotation="90"/>
    </xf>
    <xf numFmtId="0" fontId="17" fillId="0" borderId="44" xfId="4" applyFont="1" applyFill="1" applyBorder="1" applyAlignment="1">
      <alignment horizontal="center" vertical="center"/>
    </xf>
    <xf numFmtId="0" fontId="12" fillId="3" borderId="31" xfId="4" applyFont="1" applyFill="1" applyBorder="1" applyAlignment="1">
      <alignment horizontal="left" vertical="center" wrapText="1"/>
    </xf>
    <xf numFmtId="0" fontId="12" fillId="3" borderId="58" xfId="4" applyFont="1" applyFill="1" applyBorder="1" applyAlignment="1">
      <alignment horizontal="left" vertical="center" wrapText="1"/>
    </xf>
    <xf numFmtId="0" fontId="12" fillId="3" borderId="17" xfId="4" applyFont="1" applyFill="1" applyBorder="1" applyAlignment="1">
      <alignment horizontal="left" vertical="center" wrapText="1"/>
    </xf>
    <xf numFmtId="9" fontId="12" fillId="0" borderId="13" xfId="4" applyNumberFormat="1" applyFont="1" applyFill="1" applyBorder="1" applyAlignment="1">
      <alignment horizontal="center" vertical="center" wrapText="1"/>
    </xf>
    <xf numFmtId="9" fontId="12" fillId="0" borderId="15" xfId="4" applyNumberFormat="1" applyFont="1" applyFill="1" applyBorder="1" applyAlignment="1">
      <alignment horizontal="center" vertical="center" wrapText="1"/>
    </xf>
    <xf numFmtId="0" fontId="18" fillId="0" borderId="28" xfId="4" applyFont="1" applyFill="1" applyBorder="1" applyAlignment="1">
      <alignment horizontal="center" vertical="center" textRotation="90"/>
    </xf>
    <xf numFmtId="0" fontId="17" fillId="0" borderId="36" xfId="4" applyFont="1" applyBorder="1" applyAlignment="1">
      <alignment horizontal="center" vertical="center" wrapText="1"/>
    </xf>
    <xf numFmtId="0" fontId="17" fillId="0" borderId="10" xfId="4" applyFont="1" applyBorder="1" applyAlignment="1">
      <alignment horizontal="center" vertical="center" wrapText="1"/>
    </xf>
    <xf numFmtId="0" fontId="15" fillId="0" borderId="46" xfId="4" applyFont="1" applyBorder="1" applyAlignment="1">
      <alignment horizontal="center" vertical="center" wrapText="1"/>
    </xf>
    <xf numFmtId="0" fontId="15" fillId="0" borderId="27" xfId="4" applyFont="1" applyBorder="1" applyAlignment="1">
      <alignment horizontal="center" vertical="center" wrapText="1"/>
    </xf>
    <xf numFmtId="0" fontId="15" fillId="0" borderId="36" xfId="4" applyFont="1" applyBorder="1" applyAlignment="1">
      <alignment horizontal="center" vertical="center" wrapText="1"/>
    </xf>
    <xf numFmtId="0" fontId="15" fillId="0" borderId="28" xfId="4" applyFont="1" applyBorder="1" applyAlignment="1">
      <alignment horizontal="center" vertical="center" wrapText="1"/>
    </xf>
    <xf numFmtId="0" fontId="12" fillId="3" borderId="13" xfId="4" applyFont="1" applyFill="1" applyBorder="1" applyAlignment="1">
      <alignment horizontal="center" vertical="center"/>
    </xf>
    <xf numFmtId="0" fontId="12" fillId="6" borderId="13" xfId="4" applyFont="1" applyFill="1" applyBorder="1" applyAlignment="1">
      <alignment horizontal="center" vertical="center"/>
    </xf>
    <xf numFmtId="0" fontId="12" fillId="0" borderId="13" xfId="4" applyFont="1" applyFill="1" applyBorder="1" applyAlignment="1">
      <alignment horizontal="center" vertical="center"/>
    </xf>
    <xf numFmtId="0" fontId="19" fillId="3" borderId="13" xfId="4" applyFont="1" applyFill="1" applyBorder="1" applyAlignment="1">
      <alignment horizontal="left" vertical="center" wrapText="1"/>
    </xf>
    <xf numFmtId="0" fontId="19" fillId="3" borderId="15" xfId="4" applyFont="1" applyFill="1" applyBorder="1" applyAlignment="1">
      <alignment horizontal="left" vertical="center" wrapText="1"/>
    </xf>
    <xf numFmtId="0" fontId="13" fillId="0" borderId="19"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2" fillId="3" borderId="16" xfId="4" applyFont="1" applyFill="1" applyBorder="1" applyAlignment="1">
      <alignment horizontal="center" vertical="center"/>
    </xf>
    <xf numFmtId="0" fontId="12" fillId="13" borderId="15" xfId="4" applyFont="1" applyFill="1" applyBorder="1" applyAlignment="1">
      <alignment horizontal="center" vertical="center"/>
    </xf>
    <xf numFmtId="0" fontId="12" fillId="6" borderId="15" xfId="4" applyFont="1" applyFill="1" applyBorder="1" applyAlignment="1">
      <alignment horizontal="center" vertical="center"/>
    </xf>
    <xf numFmtId="0" fontId="12" fillId="0" borderId="15" xfId="4" applyFont="1" applyFill="1" applyBorder="1" applyAlignment="1">
      <alignment horizontal="center" vertical="center"/>
    </xf>
    <xf numFmtId="0" fontId="12" fillId="13" borderId="13"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21" xfId="4" applyFont="1" applyFill="1" applyBorder="1" applyAlignment="1">
      <alignment horizontal="center" vertical="center"/>
    </xf>
    <xf numFmtId="0" fontId="12" fillId="3" borderId="23" xfId="4" applyFont="1" applyFill="1" applyBorder="1" applyAlignment="1">
      <alignment horizontal="left" vertical="center" wrapText="1"/>
    </xf>
    <xf numFmtId="0" fontId="12" fillId="0" borderId="15" xfId="4" applyFont="1" applyFill="1" applyBorder="1" applyAlignment="1">
      <alignment horizontal="left" vertical="center" wrapText="1"/>
    </xf>
    <xf numFmtId="0" fontId="12" fillId="3" borderId="15" xfId="4" applyFont="1" applyFill="1" applyBorder="1" applyAlignment="1">
      <alignment horizontal="center" vertical="center" wrapText="1"/>
    </xf>
    <xf numFmtId="0" fontId="12" fillId="0" borderId="23" xfId="4" applyFont="1" applyFill="1" applyBorder="1" applyAlignment="1">
      <alignment horizontal="left" vertical="center" wrapText="1"/>
    </xf>
    <xf numFmtId="0" fontId="12" fillId="0" borderId="61" xfId="4" applyFont="1" applyFill="1" applyBorder="1" applyAlignment="1">
      <alignment horizontal="left" vertical="center" wrapText="1"/>
    </xf>
    <xf numFmtId="10" fontId="12" fillId="13" borderId="15" xfId="4" applyNumberFormat="1" applyFont="1" applyFill="1" applyBorder="1" applyAlignment="1">
      <alignment horizontal="center" vertical="center"/>
    </xf>
    <xf numFmtId="10" fontId="12" fillId="7" borderId="15" xfId="4" applyNumberFormat="1" applyFont="1" applyFill="1" applyBorder="1" applyAlignment="1">
      <alignment horizontal="center" vertical="center"/>
    </xf>
    <xf numFmtId="0" fontId="12" fillId="7" borderId="15" xfId="4" applyNumberFormat="1" applyFont="1" applyFill="1" applyBorder="1" applyAlignment="1">
      <alignment horizontal="center" vertical="center"/>
    </xf>
    <xf numFmtId="0" fontId="12" fillId="7" borderId="15" xfId="4" applyFont="1" applyFill="1" applyBorder="1" applyAlignment="1">
      <alignment horizontal="center" vertical="center"/>
    </xf>
    <xf numFmtId="0" fontId="12" fillId="0" borderId="27" xfId="4" applyFont="1" applyFill="1" applyBorder="1" applyAlignment="1">
      <alignment horizontal="center" vertical="center"/>
    </xf>
    <xf numFmtId="0" fontId="12" fillId="3" borderId="27" xfId="4" applyFont="1" applyFill="1" applyBorder="1" applyAlignment="1">
      <alignment horizontal="center" vertical="center"/>
    </xf>
    <xf numFmtId="0" fontId="12" fillId="0" borderId="15" xfId="4" applyNumberFormat="1" applyFont="1" applyFill="1" applyBorder="1" applyAlignment="1">
      <alignment horizontal="center" vertical="center"/>
    </xf>
    <xf numFmtId="10" fontId="12" fillId="6" borderId="15" xfId="4" applyNumberFormat="1" applyFont="1" applyFill="1" applyBorder="1" applyAlignment="1">
      <alignment horizontal="center" vertical="center"/>
    </xf>
    <xf numFmtId="0" fontId="12" fillId="6" borderId="15" xfId="4" applyNumberFormat="1" applyFont="1" applyFill="1" applyBorder="1" applyAlignment="1">
      <alignment horizontal="center" vertical="center"/>
    </xf>
    <xf numFmtId="10" fontId="12" fillId="13" borderId="15" xfId="1" applyNumberFormat="1" applyFont="1" applyFill="1" applyBorder="1" applyAlignment="1">
      <alignment horizontal="center" vertical="center"/>
    </xf>
    <xf numFmtId="0" fontId="12" fillId="6" borderId="27" xfId="4"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7" fillId="3" borderId="46" xfId="0" applyFont="1" applyFill="1" applyBorder="1" applyAlignment="1">
      <alignment horizontal="center" vertical="center" wrapText="1"/>
    </xf>
    <xf numFmtId="0" fontId="0" fillId="3" borderId="27" xfId="0"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47" xfId="0" applyFill="1" applyBorder="1" applyAlignment="1">
      <alignment horizontal="center" vertical="center" wrapText="1"/>
    </xf>
    <xf numFmtId="0" fontId="7" fillId="3" borderId="40" xfId="0" applyFont="1" applyFill="1" applyBorder="1" applyAlignment="1">
      <alignment horizontal="center" vertical="center" wrapText="1"/>
    </xf>
    <xf numFmtId="0" fontId="0" fillId="3" borderId="48" xfId="0" applyFill="1" applyBorder="1" applyAlignment="1">
      <alignment horizontal="center" vertical="center" wrapText="1"/>
    </xf>
    <xf numFmtId="0" fontId="12" fillId="6" borderId="28" xfId="4" applyFont="1" applyFill="1" applyBorder="1" applyAlignment="1">
      <alignment horizontal="center" vertical="center"/>
    </xf>
    <xf numFmtId="0" fontId="12" fillId="7" borderId="21" xfId="4" applyFont="1" applyFill="1" applyBorder="1" applyAlignment="1">
      <alignment horizontal="center" vertical="center"/>
    </xf>
    <xf numFmtId="0" fontId="13" fillId="0" borderId="27" xfId="0" applyFont="1" applyFill="1" applyBorder="1" applyAlignment="1">
      <alignment horizontal="center" vertical="center"/>
    </xf>
    <xf numFmtId="10" fontId="13" fillId="8" borderId="27" xfId="0" applyNumberFormat="1"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13" fillId="0" borderId="13" xfId="0" applyFont="1" applyFill="1" applyBorder="1" applyAlignment="1">
      <alignment horizontal="center" vertical="center"/>
    </xf>
    <xf numFmtId="10" fontId="13" fillId="8" borderId="28" xfId="0" applyNumberFormat="1" applyFont="1" applyFill="1" applyBorder="1" applyAlignment="1">
      <alignment horizontal="center" vertical="center"/>
    </xf>
    <xf numFmtId="0" fontId="13" fillId="3" borderId="1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1" xfId="0" applyFont="1" applyFill="1" applyBorder="1" applyAlignment="1">
      <alignment horizontal="center" vertical="center"/>
    </xf>
    <xf numFmtId="10" fontId="13" fillId="8" borderId="15" xfId="0" applyNumberFormat="1" applyFont="1" applyFill="1" applyBorder="1" applyAlignment="1">
      <alignment horizontal="center" vertical="center"/>
    </xf>
    <xf numFmtId="10" fontId="13" fillId="8" borderId="21" xfId="0" applyNumberFormat="1" applyFont="1" applyFill="1" applyBorder="1" applyAlignment="1">
      <alignment horizontal="center" vertical="center"/>
    </xf>
    <xf numFmtId="10" fontId="13" fillId="33" borderId="27" xfId="0" applyNumberFormat="1" applyFont="1" applyFill="1" applyBorder="1" applyAlignment="1">
      <alignment horizontal="center" vertical="center"/>
    </xf>
    <xf numFmtId="0" fontId="13" fillId="33" borderId="27" xfId="0" applyFont="1" applyFill="1" applyBorder="1" applyAlignment="1">
      <alignment horizontal="center" vertical="center"/>
    </xf>
    <xf numFmtId="0" fontId="13" fillId="8"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27" xfId="0"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27"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12" fillId="33" borderId="15" xfId="0" applyFont="1" applyFill="1" applyBorder="1" applyAlignment="1">
      <alignment horizontal="center" vertical="center"/>
    </xf>
    <xf numFmtId="10" fontId="7" fillId="33" borderId="27" xfId="0" applyNumberFormat="1" applyFont="1" applyFill="1" applyBorder="1" applyAlignment="1">
      <alignment horizontal="center" vertical="center"/>
    </xf>
    <xf numFmtId="0" fontId="7" fillId="33" borderId="27" xfId="0" applyFont="1" applyFill="1" applyBorder="1" applyAlignment="1">
      <alignment horizontal="center" vertical="center"/>
    </xf>
    <xf numFmtId="10" fontId="12" fillId="33" borderId="27" xfId="0" applyNumberFormat="1" applyFont="1" applyFill="1" applyBorder="1" applyAlignment="1">
      <alignment horizontal="center" vertical="center"/>
    </xf>
    <xf numFmtId="0" fontId="12" fillId="33" borderId="27" xfId="0" applyFont="1" applyFill="1" applyBorder="1" applyAlignment="1">
      <alignment horizontal="center" vertical="center"/>
    </xf>
    <xf numFmtId="9" fontId="13" fillId="8" borderId="15" xfId="0" applyNumberFormat="1" applyFont="1" applyFill="1" applyBorder="1" applyAlignment="1">
      <alignment horizontal="center" vertical="center"/>
    </xf>
    <xf numFmtId="0" fontId="13" fillId="8" borderId="21" xfId="0" applyFont="1" applyFill="1" applyBorder="1" applyAlignment="1">
      <alignment horizontal="center" vertical="center"/>
    </xf>
    <xf numFmtId="10" fontId="7" fillId="33" borderId="15" xfId="0" applyNumberFormat="1" applyFont="1" applyFill="1" applyBorder="1" applyAlignment="1">
      <alignment horizontal="center" vertical="center"/>
    </xf>
    <xf numFmtId="0" fontId="7" fillId="33" borderId="15" xfId="0" applyFont="1" applyFill="1" applyBorder="1" applyAlignment="1">
      <alignment horizontal="center" vertical="center"/>
    </xf>
    <xf numFmtId="10" fontId="12" fillId="33" borderId="15" xfId="0" applyNumberFormat="1" applyFont="1" applyFill="1" applyBorder="1" applyAlignment="1">
      <alignment horizontal="center" vertical="center"/>
    </xf>
    <xf numFmtId="10" fontId="13" fillId="33" borderId="15" xfId="0" applyNumberFormat="1" applyFont="1" applyFill="1" applyBorder="1" applyAlignment="1">
      <alignment horizontal="center" vertical="center"/>
    </xf>
    <xf numFmtId="0" fontId="13" fillId="33" borderId="15" xfId="0" applyFont="1" applyFill="1" applyBorder="1" applyAlignment="1">
      <alignment horizontal="center" vertical="center"/>
    </xf>
    <xf numFmtId="0" fontId="13" fillId="3" borderId="21" xfId="0" applyFont="1" applyFill="1" applyBorder="1" applyAlignment="1">
      <alignment horizontal="center" vertical="center"/>
    </xf>
    <xf numFmtId="0" fontId="12" fillId="0" borderId="15" xfId="0" applyFont="1" applyFill="1" applyBorder="1" applyAlignment="1">
      <alignment horizontal="center" vertical="center"/>
    </xf>
    <xf numFmtId="9" fontId="13" fillId="8" borderId="13" xfId="0" applyNumberFormat="1" applyFont="1" applyFill="1" applyBorder="1" applyAlignment="1">
      <alignment horizontal="center" vertical="center"/>
    </xf>
    <xf numFmtId="0" fontId="13" fillId="8" borderId="1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5"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3" fillId="33" borderId="13" xfId="0" applyFont="1" applyFill="1" applyBorder="1" applyAlignment="1">
      <alignment horizontal="center" vertical="center"/>
    </xf>
    <xf numFmtId="0" fontId="35" fillId="0" borderId="4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46" xfId="0" applyFont="1" applyFill="1" applyBorder="1" applyAlignment="1">
      <alignment horizontal="center" vertical="center"/>
    </xf>
    <xf numFmtId="0" fontId="33" fillId="0" borderId="27" xfId="0" applyFont="1" applyFill="1" applyBorder="1" applyAlignment="1">
      <alignment horizontal="center" vertical="center" textRotation="90"/>
    </xf>
    <xf numFmtId="0" fontId="35" fillId="0" borderId="36" xfId="0" applyFont="1" applyFill="1" applyBorder="1" applyAlignment="1">
      <alignment horizontal="center" vertical="center"/>
    </xf>
    <xf numFmtId="0" fontId="33" fillId="0" borderId="28" xfId="0" applyFont="1" applyFill="1" applyBorder="1" applyAlignment="1">
      <alignment horizontal="center" vertical="center" textRotation="90"/>
    </xf>
    <xf numFmtId="0" fontId="35" fillId="0" borderId="36" xfId="0" applyFont="1" applyBorder="1" applyAlignment="1">
      <alignment horizontal="center" vertical="center" wrapText="1"/>
    </xf>
    <xf numFmtId="0" fontId="35" fillId="0" borderId="28" xfId="0" applyFont="1" applyBorder="1" applyAlignment="1">
      <alignment horizontal="center" vertical="center" wrapText="1"/>
    </xf>
    <xf numFmtId="9" fontId="35" fillId="0" borderId="46" xfId="1" applyNumberFormat="1" applyFont="1" applyBorder="1" applyAlignment="1">
      <alignment horizontal="center" vertical="center" wrapText="1"/>
    </xf>
    <xf numFmtId="9" fontId="35" fillId="0" borderId="27" xfId="1" applyNumberFormat="1" applyFont="1" applyBorder="1" applyAlignment="1">
      <alignment horizontal="center" vertical="center" wrapText="1"/>
    </xf>
    <xf numFmtId="0" fontId="12" fillId="3" borderId="13" xfId="0"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7" fillId="3" borderId="38"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65" xfId="0" applyFont="1" applyFill="1" applyBorder="1" applyAlignment="1">
      <alignment horizontal="center" vertical="center" wrapText="1"/>
    </xf>
    <xf numFmtId="0" fontId="0" fillId="3" borderId="66" xfId="0" applyFill="1" applyBorder="1" applyAlignment="1">
      <alignment horizontal="center" vertical="center" wrapText="1"/>
    </xf>
    <xf numFmtId="10" fontId="7" fillId="9" borderId="10" xfId="4" applyNumberFormat="1" applyFill="1" applyBorder="1" applyAlignment="1">
      <alignment horizontal="center" vertical="center"/>
    </xf>
    <xf numFmtId="0" fontId="7" fillId="9" borderId="9" xfId="4" applyFill="1" applyBorder="1" applyAlignment="1">
      <alignment horizontal="center" vertical="center"/>
    </xf>
    <xf numFmtId="0" fontId="7" fillId="0" borderId="33" xfId="4" applyFill="1" applyBorder="1" applyAlignment="1">
      <alignment horizontal="center" vertical="center"/>
    </xf>
    <xf numFmtId="0" fontId="7" fillId="0" borderId="30" xfId="4" applyFill="1" applyBorder="1" applyAlignment="1">
      <alignment horizontal="center" vertical="center"/>
    </xf>
    <xf numFmtId="0" fontId="7" fillId="9" borderId="11" xfId="4" applyFill="1" applyBorder="1" applyAlignment="1">
      <alignment horizontal="center" vertical="center"/>
    </xf>
    <xf numFmtId="0" fontId="7" fillId="0" borderId="10" xfId="4" applyFill="1" applyBorder="1" applyAlignment="1">
      <alignment horizontal="center" vertical="center"/>
    </xf>
    <xf numFmtId="0" fontId="7" fillId="0" borderId="9" xfId="4" applyFill="1" applyBorder="1" applyAlignment="1">
      <alignment horizontal="center" vertical="center"/>
    </xf>
    <xf numFmtId="0" fontId="7" fillId="3" borderId="34" xfId="4" applyFill="1" applyBorder="1" applyAlignment="1">
      <alignment horizontal="center" vertical="center"/>
    </xf>
    <xf numFmtId="0" fontId="7" fillId="3" borderId="37" xfId="4" applyFill="1" applyBorder="1" applyAlignment="1">
      <alignment horizontal="center" vertical="center"/>
    </xf>
    <xf numFmtId="0" fontId="7" fillId="3" borderId="59" xfId="4" applyFill="1" applyBorder="1" applyAlignment="1">
      <alignment horizontal="center" vertical="center"/>
    </xf>
    <xf numFmtId="0" fontId="7" fillId="0" borderId="34" xfId="4" applyFill="1" applyBorder="1" applyAlignment="1">
      <alignment horizontal="center" vertical="center"/>
    </xf>
    <xf numFmtId="0" fontId="7" fillId="0" borderId="37" xfId="4" applyFill="1" applyBorder="1" applyAlignment="1">
      <alignment horizontal="center" vertical="center"/>
    </xf>
    <xf numFmtId="10" fontId="7" fillId="9" borderId="34" xfId="4" applyNumberFormat="1" applyFill="1" applyBorder="1" applyAlignment="1">
      <alignment horizontal="center" vertical="center"/>
    </xf>
    <xf numFmtId="0" fontId="7" fillId="9" borderId="37" xfId="4" applyFill="1" applyBorder="1" applyAlignment="1">
      <alignment horizontal="center" vertical="center"/>
    </xf>
    <xf numFmtId="0" fontId="7" fillId="9" borderId="59" xfId="4" applyFill="1" applyBorder="1" applyAlignment="1">
      <alignment horizontal="center" vertical="center"/>
    </xf>
    <xf numFmtId="9" fontId="7" fillId="13" borderId="10" xfId="1" applyFill="1" applyBorder="1" applyAlignment="1">
      <alignment horizontal="center" vertical="center"/>
    </xf>
    <xf numFmtId="9" fontId="7" fillId="13" borderId="9" xfId="1" applyFill="1" applyBorder="1" applyAlignment="1">
      <alignment horizontal="center" vertical="center"/>
    </xf>
    <xf numFmtId="0" fontId="7" fillId="3" borderId="42" xfId="4" applyFill="1" applyBorder="1" applyAlignment="1">
      <alignment horizontal="center" vertical="center"/>
    </xf>
    <xf numFmtId="0" fontId="7" fillId="13" borderId="34" xfId="4" applyFill="1" applyBorder="1" applyAlignment="1">
      <alignment horizontal="center" vertical="center"/>
    </xf>
    <xf numFmtId="0" fontId="7" fillId="13" borderId="37" xfId="4" applyFill="1" applyBorder="1" applyAlignment="1">
      <alignment horizontal="center" vertical="center"/>
    </xf>
    <xf numFmtId="0" fontId="7" fillId="9" borderId="34" xfId="4" applyFill="1" applyBorder="1" applyAlignment="1">
      <alignment horizontal="center" vertical="center"/>
    </xf>
    <xf numFmtId="10" fontId="7" fillId="13" borderId="34" xfId="1" applyNumberFormat="1" applyFill="1" applyBorder="1" applyAlignment="1">
      <alignment horizontal="center" vertical="center"/>
    </xf>
    <xf numFmtId="10" fontId="7" fillId="13" borderId="37" xfId="1" applyNumberFormat="1" applyFill="1" applyBorder="1" applyAlignment="1">
      <alignment horizontal="center" vertical="center"/>
    </xf>
    <xf numFmtId="9" fontId="7" fillId="13" borderId="34" xfId="1" applyFill="1" applyBorder="1" applyAlignment="1">
      <alignment horizontal="center" vertical="center"/>
    </xf>
    <xf numFmtId="9" fontId="7" fillId="13" borderId="37" xfId="1" applyFill="1" applyBorder="1" applyAlignment="1">
      <alignment horizontal="center" vertical="center"/>
    </xf>
    <xf numFmtId="0" fontId="7" fillId="0" borderId="62" xfId="4" applyFill="1" applyBorder="1" applyAlignment="1">
      <alignment horizontal="center" vertical="center"/>
    </xf>
    <xf numFmtId="0" fontId="7" fillId="0" borderId="63" xfId="4" applyFill="1" applyBorder="1" applyAlignment="1">
      <alignment horizontal="center" vertical="center"/>
    </xf>
    <xf numFmtId="9" fontId="7" fillId="9" borderId="62" xfId="1" applyFill="1" applyBorder="1" applyAlignment="1">
      <alignment horizontal="center" vertical="center"/>
    </xf>
    <xf numFmtId="9" fontId="7" fillId="9" borderId="63" xfId="1" applyFill="1" applyBorder="1" applyAlignment="1">
      <alignment horizontal="center" vertical="center"/>
    </xf>
    <xf numFmtId="0" fontId="12" fillId="0" borderId="12" xfId="4" applyFont="1" applyFill="1" applyBorder="1" applyAlignment="1">
      <alignment horizontal="justify" vertical="center" wrapText="1"/>
    </xf>
    <xf numFmtId="10" fontId="7" fillId="13" borderId="8" xfId="4" applyNumberFormat="1" applyFill="1" applyBorder="1" applyAlignment="1">
      <alignment horizontal="center" vertical="center"/>
    </xf>
    <xf numFmtId="0" fontId="7" fillId="13" borderId="9" xfId="4" applyFill="1" applyBorder="1" applyAlignment="1">
      <alignment horizontal="center" vertical="center"/>
    </xf>
    <xf numFmtId="0" fontId="7" fillId="3" borderId="10" xfId="4" applyFill="1" applyBorder="1" applyAlignment="1">
      <alignment horizontal="center" vertical="center"/>
    </xf>
    <xf numFmtId="0" fontId="7" fillId="3" borderId="9" xfId="4" applyFill="1" applyBorder="1" applyAlignment="1">
      <alignment horizontal="center" vertical="center"/>
    </xf>
    <xf numFmtId="10" fontId="7" fillId="13" borderId="62" xfId="1" applyNumberFormat="1" applyFill="1" applyBorder="1" applyAlignment="1">
      <alignment horizontal="center" vertical="center"/>
    </xf>
    <xf numFmtId="10" fontId="7" fillId="13" borderId="63" xfId="1" applyNumberFormat="1" applyFill="1" applyBorder="1" applyAlignment="1">
      <alignment horizontal="center" vertical="center"/>
    </xf>
    <xf numFmtId="9" fontId="7" fillId="9" borderId="64" xfId="1" applyFill="1" applyBorder="1" applyAlignment="1">
      <alignment horizontal="center" vertical="center"/>
    </xf>
    <xf numFmtId="0" fontId="7" fillId="0" borderId="42" xfId="4" applyFill="1" applyBorder="1" applyAlignment="1">
      <alignment horizontal="center" vertical="center"/>
    </xf>
    <xf numFmtId="9" fontId="7" fillId="13" borderId="62" xfId="1" applyFill="1" applyBorder="1" applyAlignment="1">
      <alignment horizontal="center" vertical="center"/>
    </xf>
    <xf numFmtId="9" fontId="7" fillId="13" borderId="63" xfId="1" applyFill="1" applyBorder="1" applyAlignment="1">
      <alignment horizontal="center" vertical="center"/>
    </xf>
    <xf numFmtId="9" fontId="7" fillId="13" borderId="8" xfId="1" applyFill="1" applyBorder="1" applyAlignment="1">
      <alignment horizontal="center" vertical="center"/>
    </xf>
    <xf numFmtId="10" fontId="7" fillId="13" borderId="10" xfId="1" applyNumberFormat="1" applyFill="1" applyBorder="1" applyAlignment="1">
      <alignment horizontal="center" vertical="center"/>
    </xf>
    <xf numFmtId="10" fontId="7" fillId="13" borderId="9" xfId="1" applyNumberFormat="1" applyFill="1" applyBorder="1" applyAlignment="1">
      <alignment horizontal="center" vertical="center"/>
    </xf>
    <xf numFmtId="0" fontId="7" fillId="9" borderId="15" xfId="4" applyFill="1" applyBorder="1" applyAlignment="1">
      <alignment horizontal="center" vertical="center"/>
    </xf>
    <xf numFmtId="0" fontId="7" fillId="9" borderId="21" xfId="4" applyFill="1" applyBorder="1" applyAlignment="1">
      <alignment horizontal="center" vertical="center"/>
    </xf>
    <xf numFmtId="0" fontId="7" fillId="13" borderId="12" xfId="4" applyFill="1" applyBorder="1" applyAlignment="1">
      <alignment horizontal="center" vertical="center"/>
    </xf>
    <xf numFmtId="0" fontId="19" fillId="0" borderId="15" xfId="4" applyFont="1" applyFill="1" applyBorder="1" applyAlignment="1">
      <alignment horizontal="justify" vertical="center" wrapText="1"/>
    </xf>
    <xf numFmtId="0" fontId="14" fillId="0" borderId="67" xfId="4" applyFont="1" applyFill="1" applyBorder="1" applyAlignment="1">
      <alignment horizontal="center" vertical="center" wrapText="1"/>
    </xf>
    <xf numFmtId="0" fontId="14" fillId="0" borderId="57" xfId="4" applyFont="1" applyFill="1" applyBorder="1" applyAlignment="1">
      <alignment horizontal="center" vertical="center" wrapText="1"/>
    </xf>
    <xf numFmtId="0" fontId="12" fillId="0" borderId="58" xfId="4" applyFont="1" applyFill="1" applyBorder="1" applyAlignment="1">
      <alignment horizontal="left" vertical="center" wrapText="1"/>
    </xf>
    <xf numFmtId="0" fontId="12" fillId="0" borderId="17" xfId="4" applyFont="1" applyFill="1" applyBorder="1" applyAlignment="1">
      <alignment horizontal="left" vertical="center" wrapText="1"/>
    </xf>
    <xf numFmtId="9" fontId="7" fillId="13" borderId="42" xfId="1" applyFill="1" applyBorder="1" applyAlignment="1">
      <alignment horizontal="center" vertical="center"/>
    </xf>
    <xf numFmtId="0" fontId="7" fillId="9" borderId="56" xfId="4" applyFill="1" applyBorder="1" applyAlignment="1">
      <alignment horizontal="center" vertical="center"/>
    </xf>
    <xf numFmtId="0" fontId="7" fillId="9" borderId="44" xfId="4" applyFill="1" applyBorder="1" applyAlignment="1">
      <alignment horizontal="center" vertical="center"/>
    </xf>
    <xf numFmtId="0" fontId="7" fillId="0" borderId="43" xfId="4" applyFill="1" applyBorder="1" applyAlignment="1">
      <alignment horizontal="center" vertical="center"/>
    </xf>
    <xf numFmtId="0" fontId="7" fillId="0" borderId="65" xfId="4" applyFill="1" applyBorder="1" applyAlignment="1">
      <alignment horizontal="center" vertical="center"/>
    </xf>
    <xf numFmtId="0" fontId="7" fillId="9" borderId="45" xfId="4" applyFill="1" applyBorder="1" applyAlignment="1">
      <alignment horizontal="center" vertical="center"/>
    </xf>
    <xf numFmtId="0" fontId="7" fillId="0" borderId="56" xfId="4" applyFill="1" applyBorder="1" applyAlignment="1">
      <alignment horizontal="center" vertical="center"/>
    </xf>
    <xf numFmtId="0" fontId="7" fillId="0" borderId="44" xfId="4" applyFill="1" applyBorder="1" applyAlignment="1">
      <alignment horizontal="center" vertical="center"/>
    </xf>
    <xf numFmtId="0" fontId="7" fillId="13" borderId="56" xfId="4" applyFill="1" applyBorder="1" applyAlignment="1">
      <alignment horizontal="center" vertical="center"/>
    </xf>
    <xf numFmtId="0" fontId="7" fillId="13" borderId="44" xfId="4" applyFill="1" applyBorder="1" applyAlignment="1">
      <alignment horizontal="center" vertical="center"/>
    </xf>
    <xf numFmtId="0" fontId="11" fillId="0" borderId="8" xfId="4" applyFont="1" applyFill="1" applyBorder="1" applyAlignment="1">
      <alignment horizontal="center" vertical="center" textRotation="90"/>
    </xf>
    <xf numFmtId="0" fontId="11" fillId="0" borderId="9" xfId="4" applyFont="1" applyFill="1" applyBorder="1" applyAlignment="1">
      <alignment horizontal="center" vertical="center" textRotation="90"/>
    </xf>
    <xf numFmtId="0" fontId="11" fillId="0" borderId="10" xfId="4" applyFont="1" applyFill="1" applyBorder="1" applyAlignment="1">
      <alignment horizontal="center" vertical="center" textRotation="90"/>
    </xf>
    <xf numFmtId="0" fontId="11" fillId="0" borderId="11" xfId="4" applyFont="1" applyFill="1" applyBorder="1" applyAlignment="1">
      <alignment horizontal="center" vertical="center" textRotation="90"/>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3" xfId="4" applyFont="1" applyBorder="1" applyAlignment="1">
      <alignment horizontal="center" vertical="center" wrapText="1"/>
    </xf>
    <xf numFmtId="0" fontId="9" fillId="0" borderId="5" xfId="4" applyFont="1" applyBorder="1" applyAlignment="1">
      <alignment horizontal="center" vertical="center" wrapText="1"/>
    </xf>
    <xf numFmtId="0" fontId="7" fillId="13" borderId="54" xfId="4" applyFill="1" applyBorder="1" applyAlignment="1">
      <alignment horizontal="center" vertical="center"/>
    </xf>
    <xf numFmtId="0" fontId="9" fillId="0" borderId="2"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12" fillId="3" borderId="20" xfId="4" applyFont="1" applyFill="1" applyBorder="1" applyAlignment="1">
      <alignment horizontal="center" vertical="center" wrapText="1"/>
    </xf>
    <xf numFmtId="0" fontId="12" fillId="3" borderId="19" xfId="4" applyFont="1" applyFill="1" applyBorder="1" applyAlignment="1">
      <alignment horizontal="center" vertical="center" wrapText="1"/>
    </xf>
    <xf numFmtId="0" fontId="12" fillId="3" borderId="13" xfId="4" applyFont="1" applyFill="1" applyBorder="1" applyAlignment="1">
      <alignment horizontal="center" vertical="center" wrapText="1"/>
    </xf>
    <xf numFmtId="9" fontId="12" fillId="0" borderId="20" xfId="1" applyFont="1" applyFill="1" applyBorder="1" applyAlignment="1">
      <alignment horizontal="center" vertical="center" wrapText="1"/>
    </xf>
    <xf numFmtId="9" fontId="12" fillId="0" borderId="19" xfId="1" applyFont="1" applyFill="1" applyBorder="1" applyAlignment="1">
      <alignment horizontal="center" vertical="center" wrapText="1"/>
    </xf>
    <xf numFmtId="9" fontId="12" fillId="0" borderId="13" xfId="1" applyFont="1" applyFill="1" applyBorder="1" applyAlignment="1">
      <alignment horizontal="center" vertical="center" wrapText="1"/>
    </xf>
    <xf numFmtId="10" fontId="7" fillId="4" borderId="15" xfId="4" applyNumberFormat="1" applyFill="1" applyBorder="1" applyAlignment="1">
      <alignment horizontal="center" vertical="center"/>
    </xf>
    <xf numFmtId="9" fontId="7" fillId="0" borderId="15" xfId="4" applyNumberFormat="1" applyFill="1" applyBorder="1" applyAlignment="1">
      <alignment horizontal="center" vertical="center"/>
    </xf>
    <xf numFmtId="10" fontId="7" fillId="13" borderId="34" xfId="4" applyNumberFormat="1" applyFill="1" applyBorder="1" applyAlignment="1">
      <alignment horizontal="center" vertical="center"/>
    </xf>
    <xf numFmtId="10" fontId="7" fillId="13" borderId="15" xfId="4" applyNumberFormat="1" applyFill="1" applyBorder="1" applyAlignment="1">
      <alignment horizontal="center" vertical="center"/>
    </xf>
    <xf numFmtId="0" fontId="7" fillId="3" borderId="15" xfId="4" applyFill="1" applyBorder="1" applyAlignment="1">
      <alignment horizontal="center" vertical="center"/>
    </xf>
    <xf numFmtId="0" fontId="7" fillId="4" borderId="15" xfId="4" applyNumberFormat="1" applyFill="1" applyBorder="1" applyAlignment="1">
      <alignment horizontal="center" vertical="center"/>
    </xf>
    <xf numFmtId="0" fontId="11" fillId="0" borderId="29" xfId="4" applyFont="1" applyFill="1" applyBorder="1" applyAlignment="1">
      <alignment horizontal="center" vertical="center" textRotation="90"/>
    </xf>
    <xf numFmtId="0" fontId="11" fillId="0" borderId="63" xfId="4" applyFont="1" applyFill="1" applyBorder="1" applyAlignment="1">
      <alignment horizontal="center" vertical="center" textRotation="90"/>
    </xf>
    <xf numFmtId="0" fontId="11" fillId="0" borderId="62" xfId="4" applyFont="1" applyFill="1" applyBorder="1" applyAlignment="1">
      <alignment horizontal="center" vertical="center" textRotation="90"/>
    </xf>
    <xf numFmtId="0" fontId="11" fillId="0" borderId="64" xfId="4" applyFont="1" applyFill="1" applyBorder="1" applyAlignment="1">
      <alignment horizontal="center" vertical="center" textRotation="90"/>
    </xf>
    <xf numFmtId="10" fontId="0" fillId="13" borderId="15" xfId="0" applyNumberFormat="1" applyFill="1" applyBorder="1" applyAlignment="1">
      <alignment horizontal="center" vertical="center"/>
    </xf>
    <xf numFmtId="10" fontId="7" fillId="4" borderId="46" xfId="4" applyNumberFormat="1" applyFill="1" applyBorder="1" applyAlignment="1">
      <alignment horizontal="center" vertical="center"/>
    </xf>
    <xf numFmtId="0" fontId="7" fillId="0" borderId="46" xfId="4" applyFill="1" applyBorder="1" applyAlignment="1">
      <alignment horizontal="center" vertical="center"/>
    </xf>
    <xf numFmtId="0" fontId="7" fillId="4" borderId="36" xfId="4" applyFill="1" applyBorder="1" applyAlignment="1">
      <alignment horizontal="center" vertical="center"/>
    </xf>
    <xf numFmtId="10" fontId="0" fillId="13" borderId="46" xfId="0" applyNumberFormat="1" applyFill="1" applyBorder="1" applyAlignment="1">
      <alignment horizontal="center" vertical="center"/>
    </xf>
    <xf numFmtId="0" fontId="0" fillId="13" borderId="46" xfId="0" applyFill="1" applyBorder="1" applyAlignment="1">
      <alignment horizontal="center" vertical="center"/>
    </xf>
    <xf numFmtId="9" fontId="7" fillId="0" borderId="46" xfId="4" applyNumberFormat="1" applyFill="1" applyBorder="1" applyAlignment="1">
      <alignment horizontal="center" vertical="center"/>
    </xf>
    <xf numFmtId="0" fontId="7" fillId="4" borderId="21" xfId="4" applyFill="1" applyBorder="1" applyAlignment="1">
      <alignment horizontal="center" vertical="center"/>
    </xf>
    <xf numFmtId="0" fontId="7" fillId="3" borderId="21" xfId="4" applyFill="1" applyBorder="1" applyAlignment="1">
      <alignment horizontal="center" vertical="center"/>
    </xf>
    <xf numFmtId="9" fontId="0" fillId="13" borderId="15" xfId="0" applyNumberFormat="1" applyFill="1" applyBorder="1" applyAlignment="1">
      <alignment horizontal="center" vertical="center"/>
    </xf>
    <xf numFmtId="9" fontId="7" fillId="13" borderId="15" xfId="4" applyNumberFormat="1" applyFill="1" applyBorder="1" applyAlignment="1">
      <alignment horizontal="center" vertical="center"/>
    </xf>
    <xf numFmtId="9" fontId="7" fillId="4" borderId="15" xfId="4" applyNumberFormat="1" applyFill="1" applyBorder="1" applyAlignment="1">
      <alignment horizontal="center" vertical="center"/>
    </xf>
    <xf numFmtId="9" fontId="0" fillId="0" borderId="27" xfId="0" applyNumberFormat="1" applyFill="1" applyBorder="1" applyAlignment="1">
      <alignment horizontal="center" vertical="center"/>
    </xf>
    <xf numFmtId="0" fontId="7" fillId="3" borderId="27" xfId="4" applyFill="1" applyBorder="1" applyAlignment="1">
      <alignment horizontal="center" vertical="center"/>
    </xf>
    <xf numFmtId="9" fontId="7" fillId="0" borderId="27" xfId="1" applyFill="1" applyBorder="1" applyAlignment="1">
      <alignment horizontal="center" vertical="center"/>
    </xf>
    <xf numFmtId="9" fontId="7" fillId="4" borderId="27" xfId="4" applyNumberFormat="1" applyFill="1" applyBorder="1" applyAlignment="1">
      <alignment horizontal="center" vertical="center"/>
    </xf>
    <xf numFmtId="9" fontId="7" fillId="0" borderId="27" xfId="4" applyNumberFormat="1" applyFill="1" applyBorder="1" applyAlignment="1">
      <alignment horizontal="center" vertical="center"/>
    </xf>
    <xf numFmtId="0" fontId="7" fillId="3" borderId="28" xfId="4" applyFill="1" applyBorder="1" applyAlignment="1">
      <alignment horizontal="center" vertical="center"/>
    </xf>
    <xf numFmtId="0" fontId="0" fillId="13" borderId="42" xfId="0" applyFill="1" applyBorder="1" applyAlignment="1">
      <alignment horizontal="center" vertical="center"/>
    </xf>
    <xf numFmtId="10" fontId="0" fillId="13" borderId="42" xfId="0" applyNumberFormat="1" applyFill="1"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center" vertical="center"/>
    </xf>
    <xf numFmtId="9" fontId="12" fillId="0" borderId="20" xfId="4" applyNumberFormat="1" applyFont="1" applyFill="1" applyBorder="1" applyAlignment="1">
      <alignment horizontal="center" vertical="center" wrapText="1"/>
    </xf>
    <xf numFmtId="9" fontId="12" fillId="0" borderId="19" xfId="4" applyNumberFormat="1" applyFont="1" applyFill="1" applyBorder="1" applyAlignment="1">
      <alignment horizontal="center" vertical="center" wrapText="1"/>
    </xf>
    <xf numFmtId="0" fontId="12" fillId="3" borderId="20" xfId="4" applyFont="1" applyFill="1" applyBorder="1" applyAlignment="1">
      <alignment horizontal="left" vertical="center" wrapText="1"/>
    </xf>
    <xf numFmtId="0" fontId="12" fillId="3" borderId="13" xfId="4" applyFont="1" applyFill="1" applyBorder="1" applyAlignment="1">
      <alignment horizontal="left" vertical="center" wrapText="1"/>
    </xf>
    <xf numFmtId="0" fontId="12" fillId="3" borderId="19" xfId="4" applyFont="1" applyFill="1" applyBorder="1" applyAlignment="1">
      <alignment horizontal="left" vertical="center" wrapText="1"/>
    </xf>
    <xf numFmtId="0" fontId="15" fillId="0" borderId="6" xfId="4" applyFont="1" applyBorder="1" applyAlignment="1">
      <alignment horizontal="center" vertical="center" wrapText="1"/>
    </xf>
    <xf numFmtId="0" fontId="15" fillId="0" borderId="74" xfId="4" applyFont="1" applyBorder="1" applyAlignment="1">
      <alignment horizontal="center" vertical="center" wrapText="1"/>
    </xf>
    <xf numFmtId="10" fontId="7" fillId="13" borderId="56" xfId="4" applyNumberFormat="1" applyFill="1" applyBorder="1" applyAlignment="1">
      <alignment horizontal="center" vertical="center"/>
    </xf>
    <xf numFmtId="0" fontId="12" fillId="3" borderId="15" xfId="4" applyFont="1" applyFill="1" applyBorder="1" applyAlignment="1">
      <alignment horizontal="left" vertical="center" wrapText="1"/>
    </xf>
    <xf numFmtId="10" fontId="7" fillId="4" borderId="27" xfId="4" applyNumberFormat="1" applyFill="1" applyBorder="1" applyAlignment="1">
      <alignment horizontal="center" vertical="center"/>
    </xf>
    <xf numFmtId="0" fontId="7" fillId="4" borderId="28" xfId="4" applyFill="1" applyBorder="1" applyAlignment="1">
      <alignment horizontal="center" vertical="center"/>
    </xf>
    <xf numFmtId="0" fontId="7" fillId="0" borderId="13" xfId="4" applyFill="1" applyBorder="1" applyAlignment="1">
      <alignment horizontal="center" vertical="center"/>
    </xf>
    <xf numFmtId="9" fontId="7" fillId="13" borderId="27" xfId="1" applyFill="1" applyBorder="1" applyAlignment="1">
      <alignment horizontal="center" vertical="center"/>
    </xf>
    <xf numFmtId="10" fontId="7" fillId="13" borderId="27" xfId="1" applyNumberFormat="1" applyFill="1" applyBorder="1" applyAlignment="1">
      <alignment horizontal="center" vertical="center"/>
    </xf>
    <xf numFmtId="9" fontId="7" fillId="13" borderId="15" xfId="1" applyFill="1" applyBorder="1" applyAlignment="1">
      <alignment horizontal="center" vertical="center"/>
    </xf>
    <xf numFmtId="10" fontId="7" fillId="13" borderId="15" xfId="1" applyNumberFormat="1" applyFill="1" applyBorder="1" applyAlignment="1">
      <alignment horizontal="center" vertical="center"/>
    </xf>
    <xf numFmtId="9" fontId="7" fillId="3" borderId="15" xfId="1" applyFont="1" applyFill="1" applyBorder="1" applyAlignment="1">
      <alignment horizontal="center" vertical="center" wrapText="1"/>
    </xf>
    <xf numFmtId="0" fontId="7" fillId="0" borderId="15" xfId="4" applyFont="1" applyFill="1" applyBorder="1" applyAlignment="1">
      <alignment horizontal="left" vertical="center" wrapText="1"/>
    </xf>
    <xf numFmtId="0" fontId="14" fillId="0" borderId="15" xfId="4" applyFont="1" applyFill="1" applyBorder="1" applyAlignment="1">
      <alignment horizontal="center" vertical="center" wrapText="1"/>
    </xf>
    <xf numFmtId="0" fontId="7" fillId="0" borderId="20" xfId="4" applyFont="1" applyFill="1" applyBorder="1" applyAlignment="1">
      <alignment horizontal="left" vertical="center" wrapText="1"/>
    </xf>
    <xf numFmtId="0" fontId="7" fillId="0" borderId="13" xfId="4" applyFont="1" applyFill="1" applyBorder="1" applyAlignment="1">
      <alignment horizontal="left" vertical="center" wrapText="1"/>
    </xf>
    <xf numFmtId="0" fontId="7" fillId="3" borderId="13" xfId="4" applyFill="1" applyBorder="1" applyAlignment="1">
      <alignment horizontal="center" vertical="center"/>
    </xf>
    <xf numFmtId="0" fontId="7" fillId="3" borderId="16" xfId="4" applyFill="1" applyBorder="1" applyAlignment="1">
      <alignment horizontal="center" vertical="center"/>
    </xf>
    <xf numFmtId="0" fontId="7" fillId="13" borderId="13" xfId="4" applyFill="1" applyBorder="1" applyAlignment="1">
      <alignment horizontal="center" vertical="center"/>
    </xf>
    <xf numFmtId="0" fontId="7" fillId="4" borderId="13" xfId="4" applyFill="1" applyBorder="1" applyAlignment="1">
      <alignment horizontal="center" vertical="center"/>
    </xf>
    <xf numFmtId="0" fontId="7" fillId="3" borderId="46" xfId="4" applyFont="1" applyFill="1" applyBorder="1" applyAlignment="1">
      <alignment horizontal="left" vertical="center" wrapText="1"/>
    </xf>
    <xf numFmtId="9" fontId="7" fillId="3" borderId="46" xfId="1" applyFont="1" applyFill="1" applyBorder="1" applyAlignment="1">
      <alignment horizontal="center" vertical="center" wrapText="1"/>
    </xf>
    <xf numFmtId="9" fontId="7" fillId="8" borderId="15" xfId="1" applyFill="1" applyBorder="1" applyAlignment="1">
      <alignment horizontal="center" vertical="center"/>
    </xf>
    <xf numFmtId="9" fontId="7" fillId="0" borderId="15" xfId="1" applyFill="1" applyBorder="1" applyAlignment="1">
      <alignment horizontal="center" vertical="center"/>
    </xf>
    <xf numFmtId="9" fontId="7" fillId="8" borderId="21" xfId="1" applyFill="1" applyBorder="1" applyAlignment="1">
      <alignment horizontal="center" vertical="center"/>
    </xf>
    <xf numFmtId="2" fontId="7" fillId="8" borderId="15" xfId="4" applyNumberFormat="1" applyFill="1" applyBorder="1" applyAlignment="1">
      <alignment horizontal="center" vertical="center"/>
    </xf>
    <xf numFmtId="2" fontId="7" fillId="8" borderId="21" xfId="4" applyNumberFormat="1" applyFill="1" applyBorder="1" applyAlignment="1">
      <alignment horizontal="center" vertical="center"/>
    </xf>
    <xf numFmtId="0" fontId="7" fillId="8" borderId="15" xfId="4" applyFill="1" applyBorder="1" applyAlignment="1">
      <alignment horizontal="center" vertical="center"/>
    </xf>
    <xf numFmtId="0" fontId="7" fillId="8" borderId="21" xfId="4" applyFill="1" applyBorder="1" applyAlignment="1">
      <alignment horizontal="center" vertical="center"/>
    </xf>
    <xf numFmtId="2" fontId="7" fillId="3" borderId="15" xfId="4" applyNumberFormat="1" applyFill="1" applyBorder="1" applyAlignment="1">
      <alignment horizontal="center" vertical="center"/>
    </xf>
    <xf numFmtId="0" fontId="7" fillId="3" borderId="27" xfId="4" applyFill="1" applyBorder="1" applyAlignment="1">
      <alignment horizontal="left" vertical="center" wrapText="1"/>
    </xf>
    <xf numFmtId="0" fontId="7" fillId="3" borderId="27" xfId="4" applyFill="1" applyBorder="1" applyAlignment="1">
      <alignment horizontal="center" vertical="center" wrapText="1"/>
    </xf>
    <xf numFmtId="0" fontId="27" fillId="3" borderId="15" xfId="4" applyFont="1" applyFill="1" applyBorder="1" applyAlignment="1">
      <alignment horizontal="left" vertical="center" wrapText="1"/>
    </xf>
    <xf numFmtId="0" fontId="7" fillId="0" borderId="15" xfId="4" applyBorder="1" applyAlignment="1">
      <alignment horizontal="left" vertical="center" wrapText="1"/>
    </xf>
    <xf numFmtId="10" fontId="0" fillId="8" borderId="15" xfId="1" applyNumberFormat="1" applyFont="1" applyFill="1" applyBorder="1" applyAlignment="1">
      <alignment horizontal="center" vertical="center"/>
    </xf>
    <xf numFmtId="10" fontId="0" fillId="8" borderId="21" xfId="1" applyNumberFormat="1" applyFont="1" applyFill="1" applyBorder="1" applyAlignment="1">
      <alignment horizontal="center" vertical="center"/>
    </xf>
    <xf numFmtId="10" fontId="0" fillId="3" borderId="15" xfId="1" applyNumberFormat="1" applyFont="1" applyFill="1" applyBorder="1" applyAlignment="1">
      <alignment horizontal="center" vertical="center"/>
    </xf>
    <xf numFmtId="9" fontId="7" fillId="3" borderId="15" xfId="1" applyFill="1" applyBorder="1" applyAlignment="1">
      <alignment horizontal="center" vertical="center"/>
    </xf>
    <xf numFmtId="10" fontId="7" fillId="3" borderId="15" xfId="4" applyNumberFormat="1" applyFill="1" applyBorder="1" applyAlignment="1">
      <alignment horizontal="center" vertical="center"/>
    </xf>
    <xf numFmtId="2" fontId="7" fillId="3" borderId="13" xfId="4" applyNumberFormat="1" applyFill="1" applyBorder="1" applyAlignment="1">
      <alignment horizontal="center" vertical="center"/>
    </xf>
    <xf numFmtId="2" fontId="7" fillId="3" borderId="16" xfId="4" applyNumberFormat="1" applyFill="1" applyBorder="1" applyAlignment="1">
      <alignment horizontal="center" vertical="center"/>
    </xf>
    <xf numFmtId="0" fontId="7" fillId="3" borderId="15" xfId="4" applyFill="1" applyBorder="1" applyAlignment="1">
      <alignment horizontal="left" vertical="center" wrapText="1"/>
    </xf>
    <xf numFmtId="0" fontId="27" fillId="3" borderId="13" xfId="4" applyFont="1" applyFill="1" applyBorder="1" applyAlignment="1">
      <alignment horizontal="justify" vertical="center" wrapText="1"/>
    </xf>
    <xf numFmtId="0" fontId="7" fillId="3" borderId="15" xfId="4" applyFill="1" applyBorder="1" applyAlignment="1">
      <alignment horizontal="justify" vertical="center" wrapText="1"/>
    </xf>
    <xf numFmtId="0" fontId="14" fillId="3" borderId="0" xfId="4" applyFont="1" applyFill="1" applyBorder="1" applyAlignment="1">
      <alignment horizontal="center" vertical="center" wrapText="1"/>
    </xf>
    <xf numFmtId="0" fontId="14" fillId="3" borderId="57" xfId="4" applyFont="1" applyFill="1" applyBorder="1" applyAlignment="1">
      <alignment horizontal="center" vertical="center" wrapText="1"/>
    </xf>
    <xf numFmtId="2" fontId="7" fillId="8" borderId="13" xfId="4" applyNumberFormat="1" applyFill="1" applyBorder="1" applyAlignment="1">
      <alignment horizontal="center" vertical="center"/>
    </xf>
    <xf numFmtId="0" fontId="7" fillId="3" borderId="13" xfId="4" applyFont="1" applyFill="1" applyBorder="1" applyAlignment="1">
      <alignment horizontal="left" vertical="center" wrapText="1"/>
    </xf>
    <xf numFmtId="9" fontId="7" fillId="3" borderId="13" xfId="4" applyNumberFormat="1" applyFont="1" applyFill="1" applyBorder="1" applyAlignment="1">
      <alignment horizontal="center" vertical="center" wrapText="1"/>
    </xf>
    <xf numFmtId="2" fontId="7" fillId="0" borderId="27" xfId="4" applyNumberFormat="1" applyFill="1" applyBorder="1" applyAlignment="1">
      <alignment horizontal="center" vertical="center" wrapText="1"/>
    </xf>
    <xf numFmtId="2" fontId="7" fillId="0" borderId="27" xfId="4" applyNumberFormat="1" applyFont="1" applyFill="1" applyBorder="1" applyAlignment="1">
      <alignment horizontal="center" vertical="center" wrapText="1"/>
    </xf>
    <xf numFmtId="0" fontId="7" fillId="0" borderId="15" xfId="4" applyFill="1" applyBorder="1" applyAlignment="1">
      <alignment horizontal="center" vertical="center" wrapText="1"/>
    </xf>
    <xf numFmtId="9" fontId="7" fillId="10" borderId="27" xfId="4" applyNumberFormat="1" applyFont="1" applyFill="1" applyBorder="1" applyAlignment="1">
      <alignment horizontal="center" vertical="center" wrapText="1"/>
    </xf>
    <xf numFmtId="0" fontId="7" fillId="10" borderId="28" xfId="4" applyNumberFormat="1" applyFill="1" applyBorder="1" applyAlignment="1">
      <alignment horizontal="center" vertical="center" wrapText="1"/>
    </xf>
    <xf numFmtId="0" fontId="7" fillId="10" borderId="15" xfId="4" applyFill="1" applyBorder="1" applyAlignment="1">
      <alignment horizontal="center" vertical="center" wrapText="1"/>
    </xf>
    <xf numFmtId="0" fontId="7" fillId="10" borderId="21" xfId="4" applyFill="1" applyBorder="1" applyAlignment="1">
      <alignment horizontal="center" vertical="center" wrapText="1"/>
    </xf>
    <xf numFmtId="0" fontId="7" fillId="0" borderId="21" xfId="4" applyFill="1" applyBorder="1" applyAlignment="1">
      <alignment horizontal="center" vertical="center" wrapText="1"/>
    </xf>
    <xf numFmtId="0" fontId="7" fillId="3" borderId="27" xfId="4" applyNumberFormat="1" applyFont="1" applyFill="1" applyBorder="1" applyAlignment="1">
      <alignment horizontal="center" vertical="center" wrapText="1"/>
    </xf>
    <xf numFmtId="0" fontId="7" fillId="3" borderId="27" xfId="4" applyNumberFormat="1" applyFill="1" applyBorder="1" applyAlignment="1">
      <alignment horizontal="center" vertical="center" wrapText="1"/>
    </xf>
    <xf numFmtId="0" fontId="7" fillId="10" borderId="27" xfId="4" applyNumberFormat="1" applyFill="1" applyBorder="1" applyAlignment="1">
      <alignment horizontal="center" vertical="center" wrapText="1"/>
    </xf>
    <xf numFmtId="2" fontId="7" fillId="3" borderId="27" xfId="4" applyNumberFormat="1" applyFont="1" applyFill="1" applyBorder="1" applyAlignment="1">
      <alignment horizontal="center" vertical="center" wrapText="1"/>
    </xf>
    <xf numFmtId="2" fontId="7" fillId="3" borderId="27" xfId="4" applyNumberFormat="1" applyFill="1" applyBorder="1" applyAlignment="1">
      <alignment horizontal="center" vertical="center" wrapText="1"/>
    </xf>
    <xf numFmtId="9" fontId="7" fillId="13" borderId="27" xfId="1" applyFill="1" applyBorder="1" applyAlignment="1">
      <alignment horizontal="center" vertical="center" wrapText="1"/>
    </xf>
    <xf numFmtId="2" fontId="7" fillId="13" borderId="27" xfId="4" applyNumberFormat="1" applyFill="1" applyBorder="1" applyAlignment="1">
      <alignment horizontal="center" vertical="center" wrapText="1"/>
    </xf>
    <xf numFmtId="0" fontId="7" fillId="13" borderId="15" xfId="4" applyFill="1" applyBorder="1" applyAlignment="1">
      <alignment horizontal="center" vertical="center" wrapText="1"/>
    </xf>
    <xf numFmtId="0" fontId="7" fillId="3" borderId="15" xfId="4" applyFill="1" applyBorder="1" applyAlignment="1">
      <alignment horizontal="center" vertical="center" wrapText="1"/>
    </xf>
    <xf numFmtId="9" fontId="12" fillId="3" borderId="15" xfId="4" applyNumberFormat="1" applyFont="1" applyFill="1" applyBorder="1" applyAlignment="1">
      <alignment horizontal="center" vertical="center" wrapText="1"/>
    </xf>
    <xf numFmtId="0" fontId="7" fillId="10" borderId="15" xfId="4" applyNumberFormat="1" applyFont="1" applyFill="1" applyBorder="1" applyAlignment="1">
      <alignment horizontal="center" vertical="center" wrapText="1"/>
    </xf>
    <xf numFmtId="0" fontId="7" fillId="10" borderId="15" xfId="4" applyNumberFormat="1" applyFill="1" applyBorder="1" applyAlignment="1">
      <alignment horizontal="center" vertical="center" wrapText="1"/>
    </xf>
    <xf numFmtId="9" fontId="7" fillId="0" borderId="34" xfId="1" applyFill="1" applyBorder="1" applyAlignment="1" applyProtection="1">
      <alignment horizontal="center" vertical="center" wrapText="1"/>
      <protection locked="0"/>
    </xf>
    <xf numFmtId="9" fontId="7" fillId="0" borderId="37" xfId="1" applyFill="1" applyBorder="1" applyAlignment="1" applyProtection="1">
      <alignment horizontal="center" vertical="center" wrapText="1"/>
      <protection locked="0"/>
    </xf>
    <xf numFmtId="166" fontId="0" fillId="10" borderId="15" xfId="1" applyNumberFormat="1" applyFont="1" applyFill="1" applyBorder="1" applyAlignment="1">
      <alignment horizontal="center" vertical="center" wrapText="1"/>
    </xf>
    <xf numFmtId="166" fontId="0" fillId="10" borderId="21" xfId="1" applyNumberFormat="1" applyFont="1" applyFill="1" applyBorder="1" applyAlignment="1">
      <alignment horizontal="center" vertical="center" wrapText="1"/>
    </xf>
    <xf numFmtId="166" fontId="0" fillId="10" borderId="34" xfId="1" applyNumberFormat="1" applyFont="1" applyFill="1" applyBorder="1" applyAlignment="1">
      <alignment horizontal="center" vertical="center" wrapText="1"/>
    </xf>
    <xf numFmtId="166" fontId="0" fillId="10" borderId="37" xfId="1" applyNumberFormat="1" applyFont="1" applyFill="1" applyBorder="1" applyAlignment="1">
      <alignment horizontal="center" vertical="center" wrapText="1"/>
    </xf>
    <xf numFmtId="10" fontId="7" fillId="13" borderId="34" xfId="4" applyNumberFormat="1" applyFill="1" applyBorder="1" applyAlignment="1">
      <alignment horizontal="center" vertical="center" wrapText="1"/>
    </xf>
    <xf numFmtId="0" fontId="7" fillId="13" borderId="37" xfId="4" applyFill="1" applyBorder="1" applyAlignment="1">
      <alignment horizontal="center" vertical="center" wrapText="1"/>
    </xf>
    <xf numFmtId="10" fontId="0" fillId="10" borderId="34" xfId="1" applyNumberFormat="1" applyFont="1" applyFill="1" applyBorder="1" applyAlignment="1">
      <alignment horizontal="center" vertical="center" wrapText="1"/>
    </xf>
    <xf numFmtId="10" fontId="0" fillId="10" borderId="37" xfId="1" applyNumberFormat="1" applyFont="1" applyFill="1" applyBorder="1" applyAlignment="1">
      <alignment horizontal="center" vertical="center" wrapText="1"/>
    </xf>
    <xf numFmtId="9" fontId="7" fillId="13" borderId="34" xfId="1" applyFill="1" applyBorder="1" applyAlignment="1" applyProtection="1">
      <alignment horizontal="center" vertical="center" wrapText="1"/>
      <protection locked="0"/>
    </xf>
    <xf numFmtId="9" fontId="7" fillId="13" borderId="37" xfId="1" applyFill="1" applyBorder="1" applyAlignment="1" applyProtection="1">
      <alignment horizontal="center" vertical="center" wrapText="1"/>
      <protection locked="0"/>
    </xf>
    <xf numFmtId="0" fontId="7" fillId="0" borderId="34" xfId="4" applyFill="1" applyBorder="1" applyAlignment="1">
      <alignment horizontal="center" vertical="center" wrapText="1"/>
    </xf>
    <xf numFmtId="0" fontId="7" fillId="0" borderId="37" xfId="4" applyFill="1" applyBorder="1" applyAlignment="1">
      <alignment horizontal="center" vertical="center" wrapText="1"/>
    </xf>
    <xf numFmtId="0" fontId="7" fillId="10" borderId="34" xfId="4" applyFill="1" applyBorder="1" applyAlignment="1">
      <alignment horizontal="center" vertical="center" wrapText="1"/>
    </xf>
    <xf numFmtId="0" fontId="7" fillId="10" borderId="37" xfId="4" applyFill="1" applyBorder="1" applyAlignment="1">
      <alignment horizontal="center" vertical="center" wrapText="1"/>
    </xf>
    <xf numFmtId="0" fontId="7" fillId="10" borderId="56" xfId="4" applyFill="1" applyBorder="1" applyAlignment="1">
      <alignment horizontal="center" vertical="center" wrapText="1"/>
    </xf>
    <xf numFmtId="0" fontId="7" fillId="10" borderId="44" xfId="4" applyFill="1" applyBorder="1" applyAlignment="1">
      <alignment horizontal="center" vertical="center" wrapText="1"/>
    </xf>
    <xf numFmtId="0" fontId="7" fillId="0" borderId="56" xfId="4" applyFill="1" applyBorder="1" applyAlignment="1">
      <alignment horizontal="center" vertical="center" wrapText="1"/>
    </xf>
    <xf numFmtId="0" fontId="7" fillId="0" borderId="44" xfId="4" applyFill="1" applyBorder="1" applyAlignment="1">
      <alignment horizontal="center" vertical="center" wrapText="1"/>
    </xf>
    <xf numFmtId="0" fontId="7" fillId="13" borderId="34" xfId="4" applyFill="1" applyBorder="1" applyAlignment="1">
      <alignment horizontal="center" vertical="center" wrapText="1"/>
    </xf>
    <xf numFmtId="0" fontId="7" fillId="3" borderId="21" xfId="4" applyFill="1" applyBorder="1" applyAlignment="1">
      <alignment horizontal="center" vertical="center" wrapText="1"/>
    </xf>
    <xf numFmtId="0" fontId="7" fillId="3" borderId="34" xfId="4" applyFill="1" applyBorder="1" applyAlignment="1">
      <alignment horizontal="center" vertical="center" wrapText="1"/>
    </xf>
    <xf numFmtId="0" fontId="7" fillId="3" borderId="37" xfId="4" applyFill="1" applyBorder="1" applyAlignment="1">
      <alignment horizontal="center" vertical="center" wrapText="1"/>
    </xf>
    <xf numFmtId="0" fontId="7" fillId="3" borderId="56" xfId="4" applyFill="1" applyBorder="1" applyAlignment="1">
      <alignment horizontal="center" vertical="center" wrapText="1"/>
    </xf>
    <xf numFmtId="0" fontId="7" fillId="3" borderId="44" xfId="4" applyFill="1" applyBorder="1" applyAlignment="1">
      <alignment horizontal="center" vertical="center" wrapText="1"/>
    </xf>
    <xf numFmtId="0" fontId="7" fillId="0" borderId="33" xfId="4" applyFill="1" applyBorder="1" applyAlignment="1">
      <alignment horizontal="center" vertical="center" wrapText="1"/>
    </xf>
    <xf numFmtId="0" fontId="7" fillId="0" borderId="30" xfId="4" applyFill="1" applyBorder="1" applyAlignment="1">
      <alignment horizontal="center" vertical="center" wrapText="1"/>
    </xf>
    <xf numFmtId="0" fontId="7" fillId="3" borderId="33" xfId="4" applyFill="1" applyBorder="1" applyAlignment="1">
      <alignment horizontal="center" vertical="center" wrapText="1"/>
    </xf>
    <xf numFmtId="0" fontId="7" fillId="3" borderId="30" xfId="4" applyFill="1" applyBorder="1" applyAlignment="1">
      <alignment horizontal="center" vertical="center" wrapText="1"/>
    </xf>
    <xf numFmtId="9" fontId="12" fillId="3" borderId="20" xfId="4" applyNumberFormat="1" applyFont="1" applyFill="1" applyBorder="1" applyAlignment="1">
      <alignment horizontal="center" vertical="center" wrapText="1"/>
    </xf>
    <xf numFmtId="9" fontId="12" fillId="3" borderId="19" xfId="4" applyNumberFormat="1" applyFont="1" applyFill="1" applyBorder="1" applyAlignment="1">
      <alignment horizontal="center" vertical="center" wrapText="1"/>
    </xf>
    <xf numFmtId="9" fontId="12" fillId="3" borderId="13" xfId="4" applyNumberFormat="1" applyFont="1" applyFill="1" applyBorder="1" applyAlignment="1">
      <alignment horizontal="center" vertical="center" wrapText="1"/>
    </xf>
    <xf numFmtId="0" fontId="25" fillId="0" borderId="44" xfId="4" applyFont="1" applyBorder="1" applyAlignment="1">
      <alignment horizontal="center" vertical="center" wrapText="1"/>
    </xf>
    <xf numFmtId="0" fontId="25" fillId="0" borderId="9" xfId="4" applyFont="1" applyBorder="1" applyAlignment="1">
      <alignment horizontal="center" vertical="center" wrapText="1"/>
    </xf>
    <xf numFmtId="0" fontId="15" fillId="0" borderId="38"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22" xfId="4" applyFont="1" applyBorder="1" applyAlignment="1">
      <alignment horizontal="center" vertical="center" wrapText="1"/>
    </xf>
    <xf numFmtId="9" fontId="15" fillId="0" borderId="68" xfId="1" applyNumberFormat="1" applyFont="1" applyBorder="1" applyAlignment="1">
      <alignment horizontal="center" vertical="center" wrapText="1"/>
    </xf>
    <xf numFmtId="9" fontId="15" fillId="0" borderId="32" xfId="1" applyNumberFormat="1" applyFont="1" applyBorder="1" applyAlignment="1">
      <alignment horizontal="center" vertical="center" wrapText="1"/>
    </xf>
    <xf numFmtId="0" fontId="0" fillId="10" borderId="33" xfId="1" applyNumberFormat="1" applyFont="1" applyFill="1" applyBorder="1" applyAlignment="1">
      <alignment horizontal="center" vertical="center" wrapText="1"/>
    </xf>
    <xf numFmtId="0" fontId="0" fillId="10" borderId="30" xfId="1" applyNumberFormat="1" applyFont="1" applyFill="1" applyBorder="1" applyAlignment="1">
      <alignment horizontal="center" vertical="center" wrapText="1"/>
    </xf>
    <xf numFmtId="0" fontId="11" fillId="0" borderId="27" xfId="4" applyFont="1" applyFill="1" applyBorder="1" applyAlignment="1">
      <alignment horizontal="center" vertical="center" textRotation="90"/>
    </xf>
    <xf numFmtId="0" fontId="19" fillId="3" borderId="19" xfId="4" applyFont="1" applyFill="1" applyBorder="1" applyAlignment="1">
      <alignment horizontal="left" vertical="center" wrapText="1"/>
    </xf>
    <xf numFmtId="9" fontId="19" fillId="3" borderId="19" xfId="1" applyNumberFormat="1" applyFont="1" applyFill="1" applyBorder="1" applyAlignment="1">
      <alignment horizontal="center" vertical="center" wrapText="1"/>
    </xf>
    <xf numFmtId="9" fontId="19" fillId="3" borderId="13" xfId="1" applyNumberFormat="1" applyFont="1" applyFill="1" applyBorder="1" applyAlignment="1">
      <alignment horizontal="center" vertical="center" wrapText="1"/>
    </xf>
    <xf numFmtId="0" fontId="7" fillId="3" borderId="51" xfId="4" applyFill="1" applyBorder="1" applyAlignment="1">
      <alignment horizontal="center"/>
    </xf>
    <xf numFmtId="0" fontId="7" fillId="3" borderId="53" xfId="4" applyFill="1" applyBorder="1" applyAlignment="1">
      <alignment horizontal="center"/>
    </xf>
    <xf numFmtId="0" fontId="9" fillId="0" borderId="36" xfId="4" applyFont="1" applyFill="1" applyBorder="1" applyAlignment="1">
      <alignment horizontal="center" vertical="center"/>
    </xf>
    <xf numFmtId="0" fontId="11" fillId="0" borderId="25" xfId="4" applyFont="1" applyFill="1" applyBorder="1" applyAlignment="1">
      <alignment horizontal="center" vertical="center" textRotation="9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17" fillId="0" borderId="38" xfId="4" applyFont="1" applyBorder="1" applyAlignment="1">
      <alignment horizontal="center" vertical="center" wrapText="1"/>
    </xf>
    <xf numFmtId="0" fontId="17" fillId="0" borderId="39" xfId="4" applyFont="1" applyBorder="1" applyAlignment="1">
      <alignment horizontal="center" vertical="center" wrapText="1"/>
    </xf>
    <xf numFmtId="9" fontId="17" fillId="0" borderId="68" xfId="1" applyNumberFormat="1" applyFont="1" applyBorder="1" applyAlignment="1">
      <alignment horizontal="center" vertical="center" wrapText="1"/>
    </xf>
    <xf numFmtId="9" fontId="17" fillId="0" borderId="32" xfId="1" applyNumberFormat="1" applyFont="1" applyBorder="1" applyAlignment="1">
      <alignment horizontal="center" vertical="center" wrapText="1"/>
    </xf>
    <xf numFmtId="0" fontId="17" fillId="0" borderId="22" xfId="4" applyFont="1" applyBorder="1" applyAlignment="1">
      <alignment horizontal="center" vertical="center" wrapText="1"/>
    </xf>
    <xf numFmtId="0" fontId="33" fillId="0" borderId="38" xfId="4" applyFont="1" applyBorder="1" applyAlignment="1">
      <alignment horizontal="center" vertical="center" wrapText="1"/>
    </xf>
    <xf numFmtId="0" fontId="33" fillId="0" borderId="39" xfId="4" applyFont="1" applyBorder="1" applyAlignment="1">
      <alignment horizontal="center" vertical="center" wrapText="1"/>
    </xf>
    <xf numFmtId="0" fontId="7" fillId="0" borderId="73" xfId="4" applyFont="1" applyFill="1" applyBorder="1" applyAlignment="1">
      <alignment horizontal="center" vertical="center" textRotation="90"/>
    </xf>
    <xf numFmtId="0" fontId="7" fillId="0" borderId="53" xfId="4" applyFont="1" applyFill="1" applyBorder="1" applyAlignment="1">
      <alignment horizontal="center" vertical="center" textRotation="90"/>
    </xf>
    <xf numFmtId="0" fontId="7" fillId="0" borderId="51" xfId="4" applyFont="1" applyFill="1" applyBorder="1" applyAlignment="1">
      <alignment horizontal="center" vertical="center" textRotation="90"/>
    </xf>
    <xf numFmtId="0" fontId="7" fillId="0" borderId="72" xfId="4" applyFont="1" applyFill="1" applyBorder="1" applyAlignment="1">
      <alignment horizontal="center" vertical="center" textRotation="90"/>
    </xf>
    <xf numFmtId="0" fontId="14" fillId="3" borderId="51" xfId="4" applyFont="1" applyFill="1" applyBorder="1" applyAlignment="1">
      <alignment horizontal="center" vertical="center" wrapText="1"/>
    </xf>
    <xf numFmtId="0" fontId="14" fillId="3" borderId="52" xfId="4" applyFont="1" applyFill="1" applyBorder="1" applyAlignment="1">
      <alignment horizontal="center" vertical="center" wrapText="1"/>
    </xf>
    <xf numFmtId="0" fontId="14" fillId="3" borderId="53" xfId="4" applyFont="1" applyFill="1" applyBorder="1" applyAlignment="1">
      <alignment horizontal="center" vertical="center" wrapText="1"/>
    </xf>
    <xf numFmtId="0" fontId="14" fillId="0" borderId="10"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11" xfId="4" applyFont="1" applyFill="1" applyBorder="1" applyAlignment="1">
      <alignment horizontal="center" vertical="center"/>
    </xf>
    <xf numFmtId="9" fontId="7" fillId="3" borderId="10" xfId="0" applyNumberFormat="1" applyFont="1" applyFill="1" applyBorder="1" applyAlignment="1">
      <alignment horizontal="center" vertical="center"/>
    </xf>
    <xf numFmtId="9" fontId="7" fillId="3" borderId="9" xfId="0" applyNumberFormat="1" applyFont="1" applyFill="1" applyBorder="1" applyAlignment="1">
      <alignment horizontal="center" vertical="center"/>
    </xf>
    <xf numFmtId="0" fontId="7" fillId="33" borderId="10" xfId="4" applyFont="1" applyFill="1" applyBorder="1" applyAlignment="1">
      <alignment horizontal="center" vertical="center"/>
    </xf>
    <xf numFmtId="0" fontId="7" fillId="33" borderId="9" xfId="4" applyFont="1" applyFill="1" applyBorder="1" applyAlignment="1">
      <alignment horizontal="center" vertical="center"/>
    </xf>
    <xf numFmtId="0" fontId="14" fillId="0" borderId="34"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59" xfId="4" applyFont="1" applyFill="1" applyBorder="1" applyAlignment="1">
      <alignment horizontal="center" vertical="center"/>
    </xf>
    <xf numFmtId="0" fontId="14" fillId="11" borderId="34" xfId="4" applyFont="1" applyFill="1" applyBorder="1" applyAlignment="1">
      <alignment horizontal="center" vertical="center"/>
    </xf>
    <xf numFmtId="0" fontId="14" fillId="11" borderId="37" xfId="4" applyFont="1" applyFill="1" applyBorder="1" applyAlignment="1">
      <alignment horizontal="center" vertical="center"/>
    </xf>
    <xf numFmtId="0" fontId="7" fillId="33" borderId="34" xfId="1" applyNumberFormat="1" applyFont="1" applyFill="1" applyBorder="1" applyAlignment="1">
      <alignment horizontal="center" vertical="center"/>
    </xf>
    <xf numFmtId="0" fontId="7" fillId="33" borderId="37" xfId="1" applyNumberFormat="1" applyFont="1" applyFill="1" applyBorder="1" applyAlignment="1">
      <alignment horizontal="center" vertical="center"/>
    </xf>
    <xf numFmtId="0" fontId="7" fillId="33" borderId="34" xfId="4" applyFont="1" applyFill="1" applyBorder="1" applyAlignment="1">
      <alignment horizontal="center" vertical="center"/>
    </xf>
    <xf numFmtId="0" fontId="7" fillId="33" borderId="37" xfId="4" applyFont="1" applyFill="1" applyBorder="1" applyAlignment="1">
      <alignment horizontal="center" vertical="center"/>
    </xf>
    <xf numFmtId="9" fontId="14" fillId="11" borderId="34" xfId="1" applyFont="1" applyFill="1" applyBorder="1" applyAlignment="1">
      <alignment horizontal="center" vertical="center"/>
    </xf>
    <xf numFmtId="9" fontId="14" fillId="11" borderId="37" xfId="1" applyFont="1" applyFill="1" applyBorder="1" applyAlignment="1">
      <alignment horizontal="center" vertical="center"/>
    </xf>
    <xf numFmtId="9" fontId="7" fillId="3" borderId="34" xfId="0" applyNumberFormat="1" applyFont="1" applyFill="1" applyBorder="1" applyAlignment="1">
      <alignment horizontal="center" vertical="center"/>
    </xf>
    <xf numFmtId="9" fontId="7" fillId="3" borderId="37" xfId="0" applyNumberFormat="1" applyFont="1" applyFill="1" applyBorder="1" applyAlignment="1">
      <alignment horizontal="center" vertical="center"/>
    </xf>
    <xf numFmtId="9" fontId="7" fillId="33" borderId="34" xfId="1" applyFont="1" applyFill="1" applyBorder="1" applyAlignment="1">
      <alignment horizontal="center" vertical="center"/>
    </xf>
    <xf numFmtId="9" fontId="7" fillId="33" borderId="37" xfId="1" applyFont="1" applyFill="1" applyBorder="1" applyAlignment="1">
      <alignment horizontal="center" vertical="center"/>
    </xf>
    <xf numFmtId="9" fontId="14" fillId="13" borderId="34" xfId="1" applyFont="1" applyFill="1" applyBorder="1" applyAlignment="1">
      <alignment horizontal="center" vertical="center"/>
    </xf>
    <xf numFmtId="9" fontId="14" fillId="13" borderId="37" xfId="1" applyFont="1" applyFill="1" applyBorder="1" applyAlignment="1">
      <alignment horizontal="center" vertical="center"/>
    </xf>
    <xf numFmtId="9" fontId="14" fillId="11" borderId="34" xfId="4" applyNumberFormat="1" applyFont="1" applyFill="1" applyBorder="1" applyAlignment="1">
      <alignment horizontal="center" vertical="center"/>
    </xf>
    <xf numFmtId="9" fontId="14" fillId="11" borderId="37" xfId="4" applyNumberFormat="1" applyFont="1" applyFill="1" applyBorder="1" applyAlignment="1">
      <alignment horizontal="center" vertical="center"/>
    </xf>
    <xf numFmtId="9" fontId="14" fillId="11" borderId="59" xfId="4" applyNumberFormat="1" applyFont="1" applyFill="1" applyBorder="1" applyAlignment="1">
      <alignment horizontal="center" vertical="center"/>
    </xf>
    <xf numFmtId="166" fontId="7" fillId="33" borderId="34" xfId="1" applyNumberFormat="1" applyFont="1" applyFill="1" applyBorder="1" applyAlignment="1">
      <alignment horizontal="center" vertical="center"/>
    </xf>
    <xf numFmtId="166" fontId="7" fillId="33" borderId="37" xfId="1" applyNumberFormat="1" applyFont="1" applyFill="1" applyBorder="1" applyAlignment="1">
      <alignment horizontal="center" vertical="center"/>
    </xf>
    <xf numFmtId="0" fontId="12" fillId="0" borderId="46" xfId="4" applyFont="1" applyFill="1" applyBorder="1" applyAlignment="1">
      <alignment horizontal="left" vertical="center" wrapText="1"/>
    </xf>
    <xf numFmtId="9" fontId="12" fillId="0" borderId="46" xfId="4" applyNumberFormat="1" applyFont="1" applyFill="1" applyBorder="1" applyAlignment="1">
      <alignment horizontal="center" vertical="center" wrapText="1"/>
    </xf>
    <xf numFmtId="9" fontId="7" fillId="3" borderId="56" xfId="0" applyNumberFormat="1" applyFont="1" applyFill="1" applyBorder="1" applyAlignment="1">
      <alignment horizontal="center" vertical="center"/>
    </xf>
    <xf numFmtId="9" fontId="7" fillId="3" borderId="44" xfId="0" applyNumberFormat="1" applyFont="1" applyFill="1" applyBorder="1" applyAlignment="1">
      <alignment horizontal="center" vertical="center"/>
    </xf>
    <xf numFmtId="166" fontId="7" fillId="3" borderId="56" xfId="1" applyNumberFormat="1" applyFont="1" applyFill="1" applyBorder="1" applyAlignment="1">
      <alignment horizontal="center" vertical="center"/>
    </xf>
    <xf numFmtId="166" fontId="7" fillId="3" borderId="44" xfId="1" applyNumberFormat="1" applyFont="1" applyFill="1" applyBorder="1" applyAlignment="1">
      <alignment horizontal="center" vertical="center"/>
    </xf>
    <xf numFmtId="0" fontId="7" fillId="0" borderId="34" xfId="4" applyFont="1" applyFill="1" applyBorder="1" applyAlignment="1">
      <alignment horizontal="center" vertical="center"/>
    </xf>
    <xf numFmtId="0" fontId="7" fillId="0" borderId="37" xfId="4" applyFont="1" applyFill="1" applyBorder="1" applyAlignment="1">
      <alignment horizontal="center" vertical="center"/>
    </xf>
    <xf numFmtId="166" fontId="7" fillId="33" borderId="56" xfId="1" applyNumberFormat="1" applyFont="1" applyFill="1" applyBorder="1" applyAlignment="1">
      <alignment horizontal="center" vertical="center"/>
    </xf>
    <xf numFmtId="166" fontId="7" fillId="33" borderId="44" xfId="1" applyNumberFormat="1" applyFont="1" applyFill="1" applyBorder="1" applyAlignment="1">
      <alignment horizontal="center" vertical="center"/>
    </xf>
    <xf numFmtId="166" fontId="7" fillId="13" borderId="56" xfId="1" applyNumberFormat="1" applyFont="1" applyFill="1" applyBorder="1" applyAlignment="1">
      <alignment horizontal="center" vertical="center"/>
    </xf>
    <xf numFmtId="166" fontId="7" fillId="13" borderId="44" xfId="1" applyNumberFormat="1" applyFont="1" applyFill="1" applyBorder="1" applyAlignment="1">
      <alignment horizontal="center" vertical="center"/>
    </xf>
    <xf numFmtId="9" fontId="14" fillId="3" borderId="34" xfId="4" applyNumberFormat="1" applyFont="1" applyFill="1" applyBorder="1" applyAlignment="1">
      <alignment horizontal="center" vertical="center"/>
    </xf>
    <xf numFmtId="9" fontId="14" fillId="3" borderId="37" xfId="4" applyNumberFormat="1" applyFont="1" applyFill="1" applyBorder="1" applyAlignment="1">
      <alignment horizontal="center" vertical="center"/>
    </xf>
    <xf numFmtId="0" fontId="12" fillId="0" borderId="20" xfId="4" applyFont="1" applyFill="1" applyBorder="1" applyAlignment="1">
      <alignment horizontal="left" vertical="center" wrapText="1"/>
    </xf>
    <xf numFmtId="0" fontId="12" fillId="0" borderId="15" xfId="2" applyFont="1" applyFill="1" applyBorder="1" applyAlignment="1">
      <alignment horizontal="left" vertical="center" wrapText="1"/>
    </xf>
    <xf numFmtId="9" fontId="12" fillId="0" borderId="15" xfId="2" applyNumberFormat="1" applyFont="1" applyFill="1" applyBorder="1" applyAlignment="1">
      <alignment horizontal="center" vertical="center" wrapText="1"/>
    </xf>
    <xf numFmtId="9" fontId="14" fillId="3" borderId="34" xfId="1" applyFont="1" applyFill="1" applyBorder="1" applyAlignment="1">
      <alignment horizontal="center" vertical="center"/>
    </xf>
    <xf numFmtId="9" fontId="14" fillId="3" borderId="37" xfId="1" applyFont="1" applyFill="1" applyBorder="1" applyAlignment="1">
      <alignment horizontal="center" vertical="center"/>
    </xf>
    <xf numFmtId="166" fontId="7" fillId="33" borderId="10" xfId="1" applyNumberFormat="1" applyFont="1" applyFill="1" applyBorder="1" applyAlignment="1">
      <alignment horizontal="center" vertical="center"/>
    </xf>
    <xf numFmtId="166" fontId="7" fillId="33" borderId="9" xfId="1" applyNumberFormat="1" applyFont="1" applyFill="1" applyBorder="1" applyAlignment="1">
      <alignment horizontal="center" vertical="center"/>
    </xf>
    <xf numFmtId="0" fontId="7" fillId="33" borderId="62" xfId="1" applyNumberFormat="1" applyFont="1" applyFill="1" applyBorder="1" applyAlignment="1">
      <alignment horizontal="center" vertical="center"/>
    </xf>
    <xf numFmtId="0" fontId="7" fillId="33" borderId="63" xfId="1" applyNumberFormat="1" applyFont="1" applyFill="1" applyBorder="1" applyAlignment="1">
      <alignment horizontal="center" vertical="center"/>
    </xf>
    <xf numFmtId="9" fontId="14" fillId="3" borderId="59" xfId="4" applyNumberFormat="1" applyFont="1" applyFill="1" applyBorder="1" applyAlignment="1">
      <alignment horizontal="center" vertical="center"/>
    </xf>
    <xf numFmtId="0" fontId="14" fillId="9" borderId="34" xfId="4" applyFont="1" applyFill="1" applyBorder="1" applyAlignment="1">
      <alignment horizontal="center" vertical="center"/>
    </xf>
    <xf numFmtId="0" fontId="14" fillId="9" borderId="37" xfId="4" applyFont="1" applyFill="1" applyBorder="1" applyAlignment="1">
      <alignment horizontal="center" vertical="center"/>
    </xf>
    <xf numFmtId="9" fontId="14" fillId="0" borderId="34" xfId="4" applyNumberFormat="1" applyFont="1" applyFill="1" applyBorder="1" applyAlignment="1">
      <alignment horizontal="center" vertical="center"/>
    </xf>
    <xf numFmtId="9" fontId="14" fillId="11" borderId="34" xfId="1" applyNumberFormat="1" applyFont="1" applyFill="1" applyBorder="1" applyAlignment="1">
      <alignment horizontal="center" vertical="center"/>
    </xf>
    <xf numFmtId="9" fontId="14" fillId="11" borderId="37" xfId="1" applyNumberFormat="1" applyFont="1" applyFill="1" applyBorder="1" applyAlignment="1">
      <alignment horizontal="center" vertical="center"/>
    </xf>
    <xf numFmtId="10" fontId="7" fillId="33" borderId="34" xfId="0" applyNumberFormat="1" applyFont="1" applyFill="1" applyBorder="1" applyAlignment="1">
      <alignment horizontal="center" vertical="center"/>
    </xf>
    <xf numFmtId="10" fontId="7" fillId="33" borderId="37" xfId="0" applyNumberFormat="1" applyFont="1" applyFill="1" applyBorder="1" applyAlignment="1">
      <alignment horizontal="center" vertical="center"/>
    </xf>
    <xf numFmtId="9" fontId="14" fillId="0" borderId="34" xfId="1" applyFont="1" applyFill="1" applyBorder="1" applyAlignment="1">
      <alignment horizontal="center" vertical="center"/>
    </xf>
    <xf numFmtId="9" fontId="14" fillId="0" borderId="37" xfId="1" applyFont="1" applyFill="1" applyBorder="1" applyAlignment="1">
      <alignment horizontal="center" vertical="center"/>
    </xf>
    <xf numFmtId="9" fontId="14" fillId="11" borderId="56" xfId="4" applyNumberFormat="1" applyFont="1" applyFill="1" applyBorder="1" applyAlignment="1">
      <alignment horizontal="center" vertical="center"/>
    </xf>
    <xf numFmtId="9" fontId="14" fillId="11" borderId="44" xfId="4" applyNumberFormat="1" applyFont="1" applyFill="1" applyBorder="1" applyAlignment="1">
      <alignment horizontal="center" vertical="center"/>
    </xf>
    <xf numFmtId="0" fontId="14" fillId="0" borderId="56" xfId="4" applyFont="1" applyFill="1" applyBorder="1" applyAlignment="1">
      <alignment horizontal="center" vertical="center"/>
    </xf>
    <xf numFmtId="0" fontId="14" fillId="0" borderId="44" xfId="4" applyFont="1" applyFill="1" applyBorder="1" applyAlignment="1">
      <alignment horizontal="center" vertical="center"/>
    </xf>
    <xf numFmtId="0" fontId="14" fillId="0" borderId="45" xfId="4" applyFont="1" applyFill="1" applyBorder="1" applyAlignment="1">
      <alignment horizontal="center" vertical="center"/>
    </xf>
    <xf numFmtId="0" fontId="7" fillId="0" borderId="1" xfId="4" applyFont="1" applyFill="1" applyBorder="1" applyAlignment="1">
      <alignment horizontal="center" vertical="center" textRotation="90"/>
    </xf>
    <xf numFmtId="0" fontId="7" fillId="0" borderId="65" xfId="4" applyFont="1" applyFill="1" applyBorder="1" applyAlignment="1">
      <alignment horizontal="center" vertical="center" textRotation="90"/>
    </xf>
    <xf numFmtId="9" fontId="7" fillId="33" borderId="56" xfId="1" applyFont="1" applyFill="1" applyBorder="1" applyAlignment="1">
      <alignment horizontal="center" vertical="center"/>
    </xf>
    <xf numFmtId="9" fontId="7" fillId="33" borderId="44" xfId="1" applyFont="1" applyFill="1" applyBorder="1" applyAlignment="1">
      <alignment horizontal="center" vertical="center"/>
    </xf>
    <xf numFmtId="0" fontId="7" fillId="3" borderId="51" xfId="4" applyFont="1" applyFill="1" applyBorder="1" applyAlignment="1">
      <alignment horizontal="center" vertical="center" wrapText="1"/>
    </xf>
    <xf numFmtId="0" fontId="7" fillId="3" borderId="53" xfId="4" applyFont="1" applyFill="1" applyBorder="1" applyAlignment="1">
      <alignment horizontal="center" vertical="center" wrapText="1"/>
    </xf>
    <xf numFmtId="0" fontId="12" fillId="0" borderId="46" xfId="2" applyFont="1" applyFill="1" applyBorder="1" applyAlignment="1">
      <alignment horizontal="left" vertical="center" wrapText="1"/>
    </xf>
    <xf numFmtId="9" fontId="12" fillId="0" borderId="46" xfId="4" applyNumberFormat="1" applyFont="1" applyFill="1" applyBorder="1" applyAlignment="1">
      <alignment horizontal="center" vertical="center"/>
    </xf>
    <xf numFmtId="9" fontId="12" fillId="0" borderId="15" xfId="4" applyNumberFormat="1" applyFont="1" applyFill="1" applyBorder="1" applyAlignment="1">
      <alignment horizontal="center" vertical="center"/>
    </xf>
    <xf numFmtId="9" fontId="7" fillId="0" borderId="26" xfId="1" applyFill="1" applyBorder="1" applyAlignment="1">
      <alignment horizontal="center" vertical="center"/>
    </xf>
    <xf numFmtId="9" fontId="7" fillId="3" borderId="27" xfId="1" applyFill="1" applyBorder="1" applyAlignment="1">
      <alignment horizontal="center" vertical="center"/>
    </xf>
    <xf numFmtId="0" fontId="7" fillId="0" borderId="12" xfId="4" applyFill="1" applyBorder="1" applyAlignment="1">
      <alignment horizontal="center" vertical="center"/>
    </xf>
    <xf numFmtId="9" fontId="7" fillId="0" borderId="12" xfId="1" applyFill="1" applyBorder="1" applyAlignment="1">
      <alignment horizontal="center" vertical="center"/>
    </xf>
    <xf numFmtId="0" fontId="29" fillId="3" borderId="20" xfId="4" applyFont="1" applyFill="1" applyBorder="1" applyAlignment="1">
      <alignment horizontal="left" vertical="center" wrapText="1"/>
    </xf>
    <xf numFmtId="0" fontId="29" fillId="3" borderId="13" xfId="4" applyFont="1" applyFill="1" applyBorder="1" applyAlignment="1">
      <alignment horizontal="left" vertical="center" wrapText="1"/>
    </xf>
    <xf numFmtId="0" fontId="13" fillId="0" borderId="22"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2" fillId="3" borderId="15" xfId="4" applyFont="1" applyFill="1" applyBorder="1" applyAlignment="1">
      <alignment horizontal="justify" vertical="center" wrapText="1"/>
    </xf>
    <xf numFmtId="0" fontId="12" fillId="3" borderId="12" xfId="4" applyFont="1" applyFill="1" applyBorder="1" applyAlignment="1">
      <alignment horizontal="left" vertical="center" wrapText="1"/>
    </xf>
    <xf numFmtId="9" fontId="19" fillId="3" borderId="15" xfId="4" applyNumberFormat="1" applyFont="1" applyFill="1" applyBorder="1" applyAlignment="1">
      <alignment horizontal="center" vertical="center" wrapText="1"/>
    </xf>
    <xf numFmtId="10" fontId="7" fillId="4" borderId="15" xfId="1" applyNumberFormat="1" applyFont="1" applyFill="1" applyBorder="1" applyAlignment="1">
      <alignment horizontal="center" vertical="center"/>
    </xf>
    <xf numFmtId="0" fontId="0" fillId="4" borderId="15" xfId="1" applyNumberFormat="1" applyFont="1" applyFill="1" applyBorder="1" applyAlignment="1">
      <alignment horizontal="center" vertical="center"/>
    </xf>
    <xf numFmtId="9" fontId="12" fillId="3" borderId="20" xfId="1" applyFont="1" applyFill="1" applyBorder="1" applyAlignment="1">
      <alignment horizontal="center" vertical="center" wrapText="1"/>
    </xf>
    <xf numFmtId="9" fontId="12" fillId="3" borderId="19" xfId="1" applyFont="1" applyFill="1" applyBorder="1" applyAlignment="1">
      <alignment horizontal="center" vertical="center" wrapText="1"/>
    </xf>
    <xf numFmtId="0" fontId="0" fillId="4" borderId="21" xfId="1" applyNumberFormat="1" applyFont="1" applyFill="1" applyBorder="1" applyAlignment="1">
      <alignment horizontal="center" vertical="center"/>
    </xf>
    <xf numFmtId="0" fontId="7" fillId="4" borderId="37" xfId="4" applyFill="1" applyBorder="1" applyAlignment="1">
      <alignment horizontal="center" vertical="center"/>
    </xf>
    <xf numFmtId="0" fontId="7" fillId="3" borderId="46" xfId="4" applyFill="1" applyBorder="1" applyAlignment="1">
      <alignment horizontal="center" vertical="center"/>
    </xf>
    <xf numFmtId="0" fontId="7" fillId="3" borderId="36" xfId="4" applyFill="1" applyBorder="1" applyAlignment="1">
      <alignment horizontal="center" vertical="center"/>
    </xf>
    <xf numFmtId="0" fontId="7" fillId="3" borderId="56" xfId="4" applyFill="1" applyBorder="1" applyAlignment="1">
      <alignment horizontal="center" vertical="center"/>
    </xf>
    <xf numFmtId="0" fontId="7" fillId="3" borderId="44" xfId="4" applyFill="1" applyBorder="1" applyAlignment="1">
      <alignment horizontal="center" vertical="center"/>
    </xf>
    <xf numFmtId="0" fontId="7" fillId="4" borderId="56" xfId="4" applyFill="1" applyBorder="1" applyAlignment="1">
      <alignment horizontal="center" vertical="center"/>
    </xf>
    <xf numFmtId="0" fontId="7" fillId="4" borderId="44" xfId="4" applyFill="1" applyBorder="1" applyAlignment="1">
      <alignment horizontal="center" vertical="center"/>
    </xf>
    <xf numFmtId="0" fontId="11" fillId="0" borderId="14" xfId="4" applyFont="1" applyFill="1" applyBorder="1" applyAlignment="1">
      <alignment horizontal="center" vertical="center" textRotation="90"/>
    </xf>
    <xf numFmtId="0" fontId="19" fillId="3" borderId="31" xfId="4" applyFont="1" applyFill="1" applyBorder="1" applyAlignment="1">
      <alignment horizontal="left" vertical="center" wrapText="1"/>
    </xf>
    <xf numFmtId="0" fontId="19" fillId="3" borderId="58" xfId="4" applyFont="1" applyFill="1" applyBorder="1" applyAlignment="1">
      <alignment horizontal="left" vertical="center" wrapText="1"/>
    </xf>
    <xf numFmtId="0" fontId="19" fillId="3" borderId="17" xfId="4" applyFont="1" applyFill="1" applyBorder="1" applyAlignment="1">
      <alignment horizontal="left" vertical="center" wrapText="1"/>
    </xf>
    <xf numFmtId="9" fontId="12" fillId="0" borderId="14" xfId="4" applyNumberFormat="1" applyFont="1" applyFill="1" applyBorder="1" applyAlignment="1">
      <alignment horizontal="center" vertical="center" wrapText="1"/>
    </xf>
    <xf numFmtId="0" fontId="9" fillId="0" borderId="50"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7" xfId="4" applyFont="1" applyBorder="1" applyAlignment="1">
      <alignment horizontal="center" vertical="center" wrapText="1"/>
    </xf>
    <xf numFmtId="9" fontId="15" fillId="0" borderId="3" xfId="1" applyNumberFormat="1" applyFont="1" applyBorder="1" applyAlignment="1">
      <alignment horizontal="center" vertical="center" wrapText="1"/>
    </xf>
    <xf numFmtId="9" fontId="15" fillId="0" borderId="5" xfId="1" applyNumberFormat="1" applyFont="1" applyBorder="1" applyAlignment="1">
      <alignment horizontal="center" vertical="center" wrapText="1"/>
    </xf>
    <xf numFmtId="9" fontId="15" fillId="0" borderId="6" xfId="1" applyNumberFormat="1" applyFont="1" applyBorder="1" applyAlignment="1">
      <alignment horizontal="center" vertical="center" wrapText="1"/>
    </xf>
    <xf numFmtId="9" fontId="15" fillId="0" borderId="7" xfId="1" applyNumberFormat="1" applyFont="1" applyBorder="1" applyAlignment="1">
      <alignment horizontal="center" vertical="center" wrapText="1"/>
    </xf>
    <xf numFmtId="0" fontId="7" fillId="0" borderId="35" xfId="4" applyFill="1" applyBorder="1" applyAlignment="1">
      <alignment horizontal="center" vertical="center"/>
    </xf>
    <xf numFmtId="0" fontId="11" fillId="0" borderId="31" xfId="4" applyFont="1" applyFill="1" applyBorder="1" applyAlignment="1">
      <alignment horizontal="center" vertical="center" textRotation="90"/>
    </xf>
    <xf numFmtId="0" fontId="11" fillId="0" borderId="40" xfId="4" applyFont="1" applyFill="1" applyBorder="1" applyAlignment="1">
      <alignment horizontal="center" vertical="center" textRotation="90"/>
    </xf>
    <xf numFmtId="0" fontId="7" fillId="4" borderId="10" xfId="4" applyFill="1" applyBorder="1" applyAlignment="1">
      <alignment horizontal="center" vertical="center"/>
    </xf>
    <xf numFmtId="0" fontId="7" fillId="4" borderId="9" xfId="4" applyFill="1" applyBorder="1" applyAlignment="1">
      <alignment horizontal="center" vertical="center"/>
    </xf>
    <xf numFmtId="0" fontId="7" fillId="0" borderId="56" xfId="1" applyNumberFormat="1" applyFill="1" applyBorder="1" applyAlignment="1">
      <alignment horizontal="center" vertical="center"/>
    </xf>
    <xf numFmtId="0" fontId="7" fillId="0" borderId="44" xfId="1" applyNumberFormat="1" applyFill="1" applyBorder="1" applyAlignment="1">
      <alignment horizontal="center" vertical="center"/>
    </xf>
    <xf numFmtId="0" fontId="7" fillId="4" borderId="11" xfId="4" applyFill="1" applyBorder="1" applyAlignment="1">
      <alignment horizontal="center" vertical="center"/>
    </xf>
    <xf numFmtId="0" fontId="7" fillId="3" borderId="62" xfId="4" applyFill="1" applyBorder="1" applyAlignment="1">
      <alignment horizontal="center" vertical="center"/>
    </xf>
    <xf numFmtId="0" fontId="7" fillId="3" borderId="63" xfId="4" applyFill="1" applyBorder="1" applyAlignment="1">
      <alignment horizontal="center" vertical="center"/>
    </xf>
    <xf numFmtId="0" fontId="7" fillId="4" borderId="62" xfId="4" applyFill="1" applyBorder="1" applyAlignment="1">
      <alignment horizontal="center" vertical="center"/>
    </xf>
    <xf numFmtId="0" fontId="7" fillId="4" borderId="64" xfId="4" applyFill="1" applyBorder="1" applyAlignment="1">
      <alignment horizontal="center" vertical="center"/>
    </xf>
    <xf numFmtId="0" fontId="7" fillId="4" borderId="63" xfId="4" applyFill="1" applyBorder="1" applyAlignment="1">
      <alignment horizontal="center" vertical="center"/>
    </xf>
    <xf numFmtId="0" fontId="7" fillId="4" borderId="59" xfId="4" applyFill="1" applyBorder="1" applyAlignment="1">
      <alignment horizontal="center" vertical="center"/>
    </xf>
    <xf numFmtId="10" fontId="7" fillId="0" borderId="15" xfId="1" applyNumberFormat="1" applyFill="1" applyBorder="1" applyAlignment="1">
      <alignment horizontal="center" vertical="center"/>
    </xf>
    <xf numFmtId="0" fontId="12" fillId="3" borderId="27" xfId="4" applyFont="1" applyFill="1" applyBorder="1" applyAlignment="1">
      <alignment horizontal="left" vertical="center" wrapText="1"/>
    </xf>
    <xf numFmtId="9" fontId="12" fillId="0" borderId="27" xfId="4" applyNumberFormat="1" applyFont="1" applyFill="1" applyBorder="1" applyAlignment="1">
      <alignment horizontal="center" vertical="center" wrapText="1"/>
    </xf>
    <xf numFmtId="10" fontId="7" fillId="0" borderId="15" xfId="4" applyNumberFormat="1" applyFill="1" applyBorder="1" applyAlignment="1">
      <alignment horizontal="center" vertical="center"/>
    </xf>
    <xf numFmtId="10" fontId="7" fillId="4" borderId="56" xfId="4" applyNumberFormat="1" applyFill="1" applyBorder="1" applyAlignment="1">
      <alignment horizontal="center" vertical="center"/>
    </xf>
    <xf numFmtId="10" fontId="7" fillId="0" borderId="56" xfId="4" applyNumberFormat="1" applyFill="1" applyBorder="1" applyAlignment="1">
      <alignment horizontal="center" vertical="center"/>
    </xf>
    <xf numFmtId="10" fontId="7" fillId="0" borderId="56" xfId="1" applyNumberFormat="1" applyFill="1" applyBorder="1" applyAlignment="1">
      <alignment horizontal="center" vertical="center"/>
    </xf>
    <xf numFmtId="10" fontId="7" fillId="0" borderId="44" xfId="1" applyNumberFormat="1" applyFill="1" applyBorder="1" applyAlignment="1">
      <alignment horizontal="center" vertical="center"/>
    </xf>
    <xf numFmtId="0" fontId="12" fillId="3" borderId="46" xfId="4" applyFont="1" applyFill="1" applyBorder="1" applyAlignment="1">
      <alignment horizontal="left" vertical="center" wrapText="1"/>
    </xf>
    <xf numFmtId="9" fontId="15" fillId="0" borderId="49" xfId="1" applyNumberFormat="1" applyFont="1" applyBorder="1" applyAlignment="1">
      <alignment horizontal="center" vertical="center" wrapText="1"/>
    </xf>
    <xf numFmtId="0" fontId="7" fillId="0" borderId="20" xfId="8" applyFont="1" applyFill="1" applyBorder="1" applyAlignment="1">
      <alignment horizontal="center" vertical="center" wrapText="1"/>
    </xf>
    <xf numFmtId="0" fontId="7" fillId="0" borderId="19"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20" xfId="8" applyFont="1" applyFill="1" applyBorder="1" applyAlignment="1">
      <alignment horizontal="justify" vertical="top" wrapText="1"/>
    </xf>
    <xf numFmtId="0" fontId="7" fillId="0" borderId="13" xfId="8" applyFont="1" applyFill="1" applyBorder="1" applyAlignment="1">
      <alignment horizontal="justify" vertical="top" wrapText="1"/>
    </xf>
    <xf numFmtId="0" fontId="7" fillId="0" borderId="67"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3" borderId="20" xfId="8" applyFont="1" applyFill="1" applyBorder="1" applyAlignment="1">
      <alignment horizontal="center" vertical="center" wrapText="1"/>
    </xf>
    <xf numFmtId="0" fontId="7" fillId="3" borderId="19" xfId="8" applyFont="1" applyFill="1" applyBorder="1" applyAlignment="1">
      <alignment horizontal="center" vertical="center" wrapText="1"/>
    </xf>
    <xf numFmtId="0" fontId="7" fillId="3" borderId="13" xfId="8" applyFont="1" applyFill="1" applyBorder="1" applyAlignment="1">
      <alignment horizontal="center" vertical="center" wrapText="1"/>
    </xf>
    <xf numFmtId="0" fontId="7" fillId="9" borderId="20" xfId="8" applyFont="1" applyFill="1" applyBorder="1" applyAlignment="1">
      <alignment horizontal="center" vertical="center" wrapText="1"/>
    </xf>
    <xf numFmtId="0" fontId="7" fillId="9" borderId="19" xfId="8" applyFont="1" applyFill="1" applyBorder="1" applyAlignment="1">
      <alignment horizontal="center" vertical="center" wrapText="1"/>
    </xf>
    <xf numFmtId="0" fontId="7" fillId="9" borderId="13" xfId="8" applyFont="1" applyFill="1" applyBorder="1" applyAlignment="1">
      <alignment horizontal="center" vertical="center" wrapText="1"/>
    </xf>
    <xf numFmtId="0" fontId="7" fillId="9" borderId="20" xfId="8" applyFont="1" applyFill="1" applyBorder="1" applyAlignment="1">
      <alignment horizontal="justify" vertical="top" wrapText="1"/>
    </xf>
    <xf numFmtId="0" fontId="7" fillId="9" borderId="13" xfId="8" applyFont="1" applyFill="1" applyBorder="1" applyAlignment="1">
      <alignment horizontal="justify" vertical="top" wrapText="1"/>
    </xf>
    <xf numFmtId="0" fontId="7" fillId="3" borderId="20" xfId="8" applyFont="1" applyFill="1" applyBorder="1" applyAlignment="1">
      <alignment horizontal="justify" vertical="center" wrapText="1"/>
    </xf>
    <xf numFmtId="0" fontId="7" fillId="3" borderId="19" xfId="8" applyFont="1" applyFill="1" applyBorder="1" applyAlignment="1">
      <alignment horizontal="justify" vertical="center" wrapText="1"/>
    </xf>
    <xf numFmtId="0" fontId="7" fillId="3" borderId="13" xfId="8" applyFont="1" applyFill="1" applyBorder="1" applyAlignment="1">
      <alignment horizontal="justify" vertical="center" wrapText="1"/>
    </xf>
    <xf numFmtId="0" fontId="7" fillId="3" borderId="20" xfId="8" applyFont="1" applyFill="1" applyBorder="1" applyAlignment="1">
      <alignment horizontal="left" vertical="center" wrapText="1"/>
    </xf>
    <xf numFmtId="0" fontId="7" fillId="3" borderId="13" xfId="8" applyFont="1" applyFill="1" applyBorder="1" applyAlignment="1">
      <alignment horizontal="left" vertical="center" wrapText="1"/>
    </xf>
    <xf numFmtId="0" fontId="50" fillId="0" borderId="35" xfId="10" applyFont="1" applyFill="1" applyBorder="1" applyAlignment="1" applyProtection="1">
      <alignment horizontal="center" vertical="center" wrapText="1"/>
    </xf>
    <xf numFmtId="0" fontId="50" fillId="0" borderId="12" xfId="10" applyFont="1" applyFill="1" applyBorder="1" applyAlignment="1" applyProtection="1">
      <alignment horizontal="center" vertical="center" wrapText="1"/>
    </xf>
    <xf numFmtId="9" fontId="50" fillId="0" borderId="46" xfId="10" applyNumberFormat="1" applyFont="1" applyFill="1" applyBorder="1" applyAlignment="1" applyProtection="1">
      <alignment horizontal="center" vertical="center" wrapText="1"/>
    </xf>
    <xf numFmtId="9" fontId="50" fillId="0" borderId="15" xfId="10" applyNumberFormat="1" applyFont="1" applyFill="1" applyBorder="1" applyAlignment="1" applyProtection="1">
      <alignment horizontal="center" vertical="center" wrapText="1"/>
    </xf>
    <xf numFmtId="168" fontId="51" fillId="0" borderId="15" xfId="11" applyNumberFormat="1" applyFont="1" applyFill="1" applyBorder="1" applyAlignment="1" applyProtection="1">
      <alignment horizontal="justify" vertical="center" wrapText="1"/>
    </xf>
    <xf numFmtId="0" fontId="18" fillId="0" borderId="15" xfId="10" applyFont="1" applyFill="1" applyBorder="1" applyAlignment="1" applyProtection="1">
      <alignment horizontal="center" vertical="center" wrapText="1"/>
    </xf>
    <xf numFmtId="0" fontId="18" fillId="0" borderId="15" xfId="10" applyFont="1" applyFill="1" applyBorder="1" applyAlignment="1">
      <alignment horizontal="justify" vertical="center" wrapText="1"/>
    </xf>
    <xf numFmtId="0" fontId="18" fillId="0" borderId="15" xfId="10" applyFont="1" applyFill="1" applyBorder="1" applyAlignment="1" applyProtection="1">
      <alignment horizontal="justify" vertical="center" wrapText="1"/>
    </xf>
    <xf numFmtId="0" fontId="18" fillId="0" borderId="15" xfId="11" applyFont="1" applyFill="1" applyBorder="1" applyAlignment="1" applyProtection="1">
      <alignment horizontal="justify" vertical="center" wrapText="1"/>
    </xf>
    <xf numFmtId="0" fontId="53" fillId="0" borderId="15" xfId="10" applyFont="1" applyFill="1" applyBorder="1" applyAlignment="1" applyProtection="1">
      <alignment horizontal="justify" vertical="center" wrapText="1"/>
      <protection locked="0"/>
    </xf>
    <xf numFmtId="0" fontId="17" fillId="0" borderId="12" xfId="10" applyFont="1" applyFill="1" applyBorder="1" applyAlignment="1" applyProtection="1">
      <alignment horizontal="center" vertical="center" wrapText="1"/>
    </xf>
    <xf numFmtId="9" fontId="17" fillId="0" borderId="15" xfId="10" applyNumberFormat="1" applyFont="1" applyFill="1" applyBorder="1" applyAlignment="1" applyProtection="1">
      <alignment horizontal="center" vertical="center" wrapText="1"/>
    </xf>
    <xf numFmtId="0" fontId="58" fillId="0" borderId="76" xfId="16" applyFont="1" applyBorder="1" applyAlignment="1">
      <alignment horizontal="center" wrapText="1"/>
    </xf>
    <xf numFmtId="0" fontId="59" fillId="0" borderId="77" xfId="16" applyFont="1" applyBorder="1" applyAlignment="1">
      <alignment wrapText="1"/>
    </xf>
    <xf numFmtId="0" fontId="59" fillId="0" borderId="78" xfId="16" applyFont="1" applyBorder="1" applyAlignment="1">
      <alignment wrapText="1"/>
    </xf>
    <xf numFmtId="0" fontId="61" fillId="23" borderId="79" xfId="17" applyFont="1" applyFill="1" applyBorder="1" applyAlignment="1" applyProtection="1">
      <alignment horizontal="center" vertical="center" wrapText="1"/>
    </xf>
    <xf numFmtId="0" fontId="61" fillId="23" borderId="80" xfId="17" applyFont="1" applyFill="1" applyBorder="1" applyAlignment="1" applyProtection="1">
      <alignment horizontal="center" vertical="center" wrapText="1"/>
    </xf>
    <xf numFmtId="0" fontId="61" fillId="23" borderId="81" xfId="17" applyFont="1" applyFill="1" applyBorder="1" applyAlignment="1" applyProtection="1">
      <alignment horizontal="center" vertical="center" wrapText="1"/>
    </xf>
    <xf numFmtId="0" fontId="57" fillId="0" borderId="82" xfId="16" applyFont="1" applyBorder="1" applyAlignment="1">
      <alignment horizontal="center" vertical="center" wrapText="1"/>
    </xf>
    <xf numFmtId="0" fontId="57" fillId="0" borderId="0" xfId="16" applyFont="1" applyBorder="1" applyAlignment="1">
      <alignment horizontal="center" vertical="center" wrapText="1"/>
    </xf>
    <xf numFmtId="0" fontId="57" fillId="0" borderId="49" xfId="16" applyFont="1" applyBorder="1" applyAlignment="1">
      <alignment horizontal="center" vertical="center" wrapText="1"/>
    </xf>
    <xf numFmtId="0" fontId="62" fillId="23" borderId="12" xfId="16" applyFont="1" applyFill="1" applyBorder="1" applyAlignment="1">
      <alignment horizontal="center" wrapText="1"/>
    </xf>
    <xf numFmtId="0" fontId="62" fillId="23" borderId="15" xfId="16" applyFont="1" applyFill="1" applyBorder="1" applyAlignment="1">
      <alignment horizontal="center" wrapText="1"/>
    </xf>
    <xf numFmtId="0" fontId="62" fillId="23" borderId="21" xfId="16" applyFont="1" applyFill="1" applyBorder="1" applyAlignment="1">
      <alignment horizontal="center" wrapText="1"/>
    </xf>
    <xf numFmtId="0" fontId="63" fillId="23" borderId="12" xfId="16" applyFont="1" applyFill="1" applyBorder="1" applyAlignment="1">
      <alignment horizontal="center" vertical="center" wrapText="1"/>
    </xf>
    <xf numFmtId="0" fontId="64" fillId="20" borderId="15" xfId="16" applyFont="1" applyFill="1" applyBorder="1" applyAlignment="1">
      <alignment vertical="center" wrapText="1"/>
    </xf>
    <xf numFmtId="0" fontId="57" fillId="0" borderId="34" xfId="16" applyFont="1" applyBorder="1" applyAlignment="1">
      <alignment horizontal="left" vertical="center" wrapText="1"/>
    </xf>
    <xf numFmtId="0" fontId="59" fillId="0" borderId="60" xfId="16" applyFont="1" applyBorder="1" applyAlignment="1">
      <alignment vertical="center" wrapText="1"/>
    </xf>
    <xf numFmtId="0" fontId="59" fillId="0" borderId="59" xfId="16" applyFont="1" applyBorder="1" applyAlignment="1">
      <alignment vertical="center" wrapText="1"/>
    </xf>
    <xf numFmtId="0" fontId="63" fillId="23" borderId="79" xfId="16" applyFont="1" applyFill="1" applyBorder="1" applyAlignment="1">
      <alignment horizontal="center" vertical="center" wrapText="1"/>
    </xf>
    <xf numFmtId="0" fontId="64" fillId="20" borderId="80" xfId="16" applyFont="1" applyFill="1" applyBorder="1" applyAlignment="1">
      <alignment vertical="center" wrapText="1"/>
    </xf>
    <xf numFmtId="0" fontId="57" fillId="22" borderId="96" xfId="16" applyFont="1" applyFill="1" applyBorder="1" applyAlignment="1">
      <alignment horizontal="center" vertical="center" wrapText="1"/>
    </xf>
    <xf numFmtId="0" fontId="57" fillId="22" borderId="60" xfId="16" applyFont="1" applyFill="1" applyBorder="1" applyAlignment="1">
      <alignment horizontal="center" vertical="center" wrapText="1"/>
    </xf>
    <xf numFmtId="0" fontId="57" fillId="22" borderId="59" xfId="16" applyFont="1" applyFill="1" applyBorder="1" applyAlignment="1">
      <alignment horizontal="center" vertical="center" wrapText="1"/>
    </xf>
    <xf numFmtId="0" fontId="63" fillId="23" borderId="42" xfId="16" applyFont="1" applyFill="1" applyBorder="1" applyAlignment="1">
      <alignment horizontal="center" vertical="center" wrapText="1"/>
    </xf>
    <xf numFmtId="0" fontId="63" fillId="23" borderId="60" xfId="16" applyFont="1" applyFill="1" applyBorder="1" applyAlignment="1">
      <alignment horizontal="center" vertical="center" wrapText="1"/>
    </xf>
    <xf numFmtId="0" fontId="57" fillId="0" borderId="83" xfId="16" applyFont="1" applyBorder="1" applyAlignment="1">
      <alignment horizontal="left" vertical="center" wrapText="1"/>
    </xf>
    <xf numFmtId="0" fontId="57" fillId="0" borderId="84" xfId="16" applyFont="1" applyBorder="1" applyAlignment="1">
      <alignment horizontal="left" vertical="center" wrapText="1"/>
    </xf>
    <xf numFmtId="0" fontId="63" fillId="23" borderId="85" xfId="16" applyFont="1" applyFill="1" applyBorder="1" applyAlignment="1">
      <alignment horizontal="center" vertical="center" wrapText="1"/>
    </xf>
    <xf numFmtId="0" fontId="64" fillId="20" borderId="86" xfId="16" applyFont="1" applyFill="1" applyBorder="1" applyAlignment="1">
      <alignment vertical="center"/>
    </xf>
    <xf numFmtId="0" fontId="57" fillId="0" borderId="87" xfId="16" applyFont="1" applyBorder="1" applyAlignment="1">
      <alignment horizontal="left" vertical="center" wrapText="1"/>
    </xf>
    <xf numFmtId="0" fontId="57" fillId="0" borderId="88" xfId="16" applyFont="1" applyBorder="1" applyAlignment="1">
      <alignment horizontal="left" vertical="center" wrapText="1"/>
    </xf>
    <xf numFmtId="0" fontId="57" fillId="0" borderId="89" xfId="16" applyFont="1" applyBorder="1" applyAlignment="1">
      <alignment horizontal="left" vertical="center" wrapText="1"/>
    </xf>
    <xf numFmtId="0" fontId="63" fillId="23" borderId="90" xfId="16" applyFont="1" applyFill="1" applyBorder="1" applyAlignment="1">
      <alignment horizontal="center" vertical="center" wrapText="1"/>
    </xf>
    <xf numFmtId="0" fontId="64" fillId="20" borderId="91" xfId="16" applyFont="1" applyFill="1" applyBorder="1" applyAlignment="1">
      <alignment horizontal="center" vertical="center" wrapText="1"/>
    </xf>
    <xf numFmtId="0" fontId="57" fillId="0" borderId="92" xfId="16" applyFont="1" applyBorder="1" applyAlignment="1">
      <alignment horizontal="left" vertical="center" wrapText="1"/>
    </xf>
    <xf numFmtId="0" fontId="59" fillId="0" borderId="80" xfId="16" applyFont="1" applyBorder="1" applyAlignment="1">
      <alignment vertical="center" wrapText="1"/>
    </xf>
    <xf numFmtId="0" fontId="59" fillId="0" borderId="81" xfId="16" applyFont="1" applyBorder="1" applyAlignment="1">
      <alignment vertical="center" wrapText="1"/>
    </xf>
    <xf numFmtId="0" fontId="63" fillId="23" borderId="90" xfId="16" applyFont="1" applyFill="1" applyBorder="1" applyAlignment="1">
      <alignment horizontal="center" vertical="center"/>
    </xf>
    <xf numFmtId="0" fontId="63" fillId="23" borderId="91" xfId="16" applyFont="1" applyFill="1" applyBorder="1" applyAlignment="1">
      <alignment horizontal="center" vertical="center"/>
    </xf>
    <xf numFmtId="0" fontId="57" fillId="0" borderId="92" xfId="16" applyFont="1" applyBorder="1" applyAlignment="1">
      <alignment horizontal="center" vertical="center" wrapText="1"/>
    </xf>
    <xf numFmtId="0" fontId="57" fillId="0" borderId="80" xfId="16" applyFont="1" applyBorder="1" applyAlignment="1">
      <alignment horizontal="center" vertical="center" wrapText="1"/>
    </xf>
    <xf numFmtId="0" fontId="57" fillId="0" borderId="81" xfId="16" applyFont="1" applyBorder="1" applyAlignment="1">
      <alignment horizontal="center" vertical="center" wrapText="1"/>
    </xf>
    <xf numFmtId="0" fontId="63" fillId="23" borderId="80" xfId="16" applyFont="1" applyFill="1" applyBorder="1" applyAlignment="1">
      <alignment horizontal="center" vertical="center" wrapText="1"/>
    </xf>
    <xf numFmtId="0" fontId="63" fillId="23" borderId="82" xfId="16" applyFont="1" applyFill="1" applyBorder="1" applyAlignment="1">
      <alignment horizontal="center" vertical="center" wrapText="1"/>
    </xf>
    <xf numFmtId="0" fontId="63" fillId="23" borderId="0" xfId="16" applyFont="1" applyFill="1" applyBorder="1" applyAlignment="1">
      <alignment horizontal="center" vertical="center" wrapText="1"/>
    </xf>
    <xf numFmtId="0" fontId="63" fillId="23" borderId="93" xfId="16" applyFont="1" applyFill="1" applyBorder="1" applyAlignment="1">
      <alignment horizontal="center" vertical="center" wrapText="1"/>
    </xf>
    <xf numFmtId="0" fontId="63" fillId="23" borderId="94" xfId="16" applyFont="1" applyFill="1" applyBorder="1" applyAlignment="1">
      <alignment horizontal="center" vertical="center" wrapText="1"/>
    </xf>
    <xf numFmtId="0" fontId="52" fillId="3" borderId="67" xfId="17" applyFont="1" applyFill="1" applyBorder="1" applyAlignment="1" applyProtection="1">
      <alignment horizontal="center" vertical="center" wrapText="1"/>
    </xf>
    <xf numFmtId="0" fontId="52" fillId="3" borderId="0" xfId="17" applyFont="1" applyFill="1" applyBorder="1" applyAlignment="1" applyProtection="1">
      <alignment horizontal="center" vertical="center" wrapText="1"/>
    </xf>
    <xf numFmtId="0" fontId="52" fillId="3" borderId="57" xfId="17" applyFont="1" applyFill="1" applyBorder="1" applyAlignment="1" applyProtection="1">
      <alignment horizontal="center" vertical="center" wrapText="1"/>
    </xf>
    <xf numFmtId="0" fontId="52" fillId="3" borderId="63" xfId="17" applyFont="1" applyFill="1" applyBorder="1" applyAlignment="1" applyProtection="1">
      <alignment horizontal="center" vertical="center" wrapText="1"/>
    </xf>
    <xf numFmtId="0" fontId="52" fillId="3" borderId="75" xfId="17" applyFont="1" applyFill="1" applyBorder="1" applyAlignment="1" applyProtection="1">
      <alignment horizontal="center" vertical="center" wrapText="1"/>
    </xf>
    <xf numFmtId="0" fontId="52" fillId="3" borderId="30" xfId="17" applyFont="1" applyFill="1" applyBorder="1" applyAlignment="1" applyProtection="1">
      <alignment horizontal="center" vertical="center" wrapText="1"/>
    </xf>
    <xf numFmtId="0" fontId="57" fillId="22" borderId="96" xfId="16" applyFont="1" applyFill="1" applyBorder="1" applyAlignment="1">
      <alignment horizontal="left" vertical="center" wrapText="1"/>
    </xf>
    <xf numFmtId="0" fontId="57" fillId="22" borderId="60" xfId="16" applyFont="1" applyFill="1" applyBorder="1" applyAlignment="1">
      <alignment horizontal="left" vertical="center" wrapText="1"/>
    </xf>
    <xf numFmtId="0" fontId="57" fillId="22" borderId="59" xfId="16" applyFont="1" applyFill="1" applyBorder="1" applyAlignment="1">
      <alignment horizontal="left" vertical="center" wrapText="1"/>
    </xf>
    <xf numFmtId="0" fontId="64" fillId="20" borderId="82" xfId="16" applyFont="1" applyFill="1" applyBorder="1" applyAlignment="1">
      <alignment vertical="center" wrapText="1"/>
    </xf>
    <xf numFmtId="0" fontId="64" fillId="20" borderId="0" xfId="16" applyFont="1" applyFill="1" applyBorder="1" applyAlignment="1">
      <alignment vertical="center" wrapText="1"/>
    </xf>
    <xf numFmtId="0" fontId="64" fillId="20" borderId="93" xfId="16" applyFont="1" applyFill="1" applyBorder="1" applyAlignment="1">
      <alignment vertical="center" wrapText="1"/>
    </xf>
    <xf numFmtId="0" fontId="64" fillId="20" borderId="94" xfId="16" applyFont="1" applyFill="1" applyBorder="1" applyAlignment="1">
      <alignment vertical="center" wrapText="1"/>
    </xf>
    <xf numFmtId="0" fontId="63" fillId="23" borderId="79" xfId="16" applyFont="1" applyFill="1" applyBorder="1" applyAlignment="1">
      <alignment horizontal="center" wrapText="1"/>
    </xf>
    <xf numFmtId="0" fontId="63" fillId="23" borderId="80" xfId="16" applyFont="1" applyFill="1" applyBorder="1" applyAlignment="1">
      <alignment horizontal="center" wrapText="1"/>
    </xf>
    <xf numFmtId="0" fontId="63" fillId="23" borderId="81" xfId="16" applyFont="1" applyFill="1" applyBorder="1" applyAlignment="1">
      <alignment horizontal="center" wrapText="1"/>
    </xf>
    <xf numFmtId="0" fontId="63" fillId="23" borderId="29" xfId="16" applyFont="1" applyFill="1" applyBorder="1" applyAlignment="1">
      <alignment horizontal="center" vertical="center" wrapText="1"/>
    </xf>
    <xf numFmtId="0" fontId="63" fillId="23" borderId="100" xfId="16" applyFont="1" applyFill="1" applyBorder="1" applyAlignment="1">
      <alignment horizontal="center" vertical="center" wrapText="1"/>
    </xf>
    <xf numFmtId="0" fontId="63" fillId="23" borderId="101" xfId="16" applyFont="1" applyFill="1" applyBorder="1" applyAlignment="1">
      <alignment horizontal="center" vertical="center" wrapText="1"/>
    </xf>
    <xf numFmtId="0" fontId="63" fillId="23" borderId="41" xfId="16" applyFont="1" applyFill="1" applyBorder="1" applyAlignment="1">
      <alignment horizontal="center" vertical="center" wrapText="1"/>
    </xf>
    <xf numFmtId="0" fontId="63" fillId="23" borderId="102" xfId="16" applyFont="1" applyFill="1" applyBorder="1" applyAlignment="1">
      <alignment horizontal="center" vertical="center" wrapText="1"/>
    </xf>
    <xf numFmtId="0" fontId="64" fillId="20" borderId="86" xfId="16" applyFont="1" applyFill="1" applyBorder="1" applyAlignment="1">
      <alignment vertical="center" wrapText="1"/>
    </xf>
    <xf numFmtId="0" fontId="60" fillId="0" borderId="92" xfId="17" applyBorder="1" applyAlignment="1" applyProtection="1">
      <alignment horizontal="left" vertical="center" wrapText="1"/>
    </xf>
    <xf numFmtId="0" fontId="63" fillId="23" borderId="103" xfId="16" applyFont="1" applyFill="1" applyBorder="1" applyAlignment="1">
      <alignment horizontal="center" vertical="center" wrapText="1"/>
    </xf>
    <xf numFmtId="0" fontId="64" fillId="20" borderId="104" xfId="16" applyFont="1" applyFill="1" applyBorder="1" applyAlignment="1">
      <alignment horizontal="center" vertical="center" wrapText="1"/>
    </xf>
    <xf numFmtId="0" fontId="57" fillId="0" borderId="105" xfId="16" applyFont="1" applyBorder="1" applyAlignment="1">
      <alignment horizontal="left" vertical="center" wrapText="1"/>
    </xf>
    <xf numFmtId="0" fontId="59" fillId="0" borderId="106" xfId="16" applyFont="1" applyBorder="1" applyAlignment="1">
      <alignment vertical="center" wrapText="1"/>
    </xf>
    <xf numFmtId="0" fontId="59" fillId="0" borderId="107" xfId="16" applyFont="1" applyBorder="1" applyAlignment="1">
      <alignment vertical="center" wrapText="1"/>
    </xf>
    <xf numFmtId="0" fontId="0" fillId="26" borderId="20" xfId="0" applyFill="1" applyBorder="1" applyAlignment="1">
      <alignment horizontal="left" vertical="top" wrapText="1"/>
    </xf>
    <xf numFmtId="0" fontId="0" fillId="26" borderId="13" xfId="0" applyFill="1" applyBorder="1" applyAlignment="1">
      <alignment horizontal="left" vertical="top" wrapText="1"/>
    </xf>
    <xf numFmtId="0" fontId="7" fillId="26" borderId="20" xfId="0" applyFont="1" applyFill="1" applyBorder="1" applyAlignment="1">
      <alignment horizontal="left" vertical="center" wrapText="1"/>
    </xf>
    <xf numFmtId="0" fontId="7" fillId="26" borderId="13" xfId="0" applyFont="1" applyFill="1" applyBorder="1" applyAlignment="1">
      <alignment horizontal="left" vertical="center" wrapText="1"/>
    </xf>
    <xf numFmtId="0" fontId="0" fillId="26" borderId="20" xfId="0" applyFill="1" applyBorder="1" applyAlignment="1">
      <alignment horizontal="left" vertical="center" wrapText="1"/>
    </xf>
    <xf numFmtId="0" fontId="0" fillId="26" borderId="13" xfId="0" applyFill="1" applyBorder="1" applyAlignment="1">
      <alignment horizontal="left" vertical="center" wrapText="1"/>
    </xf>
    <xf numFmtId="0" fontId="0" fillId="26" borderId="20" xfId="0" applyFill="1" applyBorder="1" applyAlignment="1">
      <alignment horizontal="center" vertical="center" wrapText="1"/>
    </xf>
    <xf numFmtId="0" fontId="0" fillId="26" borderId="13" xfId="0" applyFill="1" applyBorder="1" applyAlignment="1">
      <alignment horizontal="center" vertical="center" wrapText="1"/>
    </xf>
    <xf numFmtId="0" fontId="7" fillId="16" borderId="20" xfId="0" applyFont="1" applyFill="1" applyBorder="1" applyAlignment="1">
      <alignment horizontal="center" vertical="center"/>
    </xf>
    <xf numFmtId="0" fontId="0" fillId="16" borderId="19" xfId="0" applyFill="1" applyBorder="1" applyAlignment="1">
      <alignment horizontal="center" vertical="center"/>
    </xf>
    <xf numFmtId="0" fontId="0" fillId="16" borderId="13" xfId="0" applyFill="1" applyBorder="1" applyAlignment="1">
      <alignment horizontal="center" vertical="center"/>
    </xf>
    <xf numFmtId="0" fontId="7" fillId="16" borderId="20" xfId="0" applyFont="1" applyFill="1" applyBorder="1" applyAlignment="1">
      <alignment horizontal="left" vertical="center" wrapText="1"/>
    </xf>
    <xf numFmtId="0" fontId="0" fillId="16" borderId="19" xfId="0" applyFill="1" applyBorder="1" applyAlignment="1">
      <alignment horizontal="left" vertical="center" wrapText="1"/>
    </xf>
    <xf numFmtId="0" fontId="0" fillId="16" borderId="13" xfId="0" applyFill="1" applyBorder="1" applyAlignment="1">
      <alignment horizontal="left" vertical="center" wrapText="1"/>
    </xf>
    <xf numFmtId="0" fontId="0" fillId="3" borderId="75" xfId="0" applyFill="1" applyBorder="1" applyAlignment="1">
      <alignment horizontal="center" vertical="center"/>
    </xf>
    <xf numFmtId="0" fontId="14" fillId="4" borderId="15" xfId="0" applyFont="1" applyFill="1" applyBorder="1" applyAlignment="1">
      <alignment horizontal="center"/>
    </xf>
    <xf numFmtId="0" fontId="51" fillId="4" borderId="20" xfId="0" applyFont="1" applyFill="1" applyBorder="1" applyAlignment="1">
      <alignment horizontal="center"/>
    </xf>
    <xf numFmtId="0" fontId="77" fillId="13" borderId="15" xfId="1" applyNumberFormat="1" applyFont="1" applyFill="1" applyBorder="1" applyAlignment="1">
      <alignment horizontal="center" vertical="center" wrapText="1"/>
    </xf>
    <xf numFmtId="0" fontId="75" fillId="13" borderId="15" xfId="1" applyNumberFormat="1" applyFont="1" applyFill="1" applyBorder="1" applyAlignment="1">
      <alignment horizontal="center" vertical="center" wrapText="1"/>
    </xf>
    <xf numFmtId="0" fontId="77" fillId="13" borderId="15" xfId="0" applyNumberFormat="1" applyFont="1" applyFill="1" applyBorder="1" applyAlignment="1">
      <alignment horizontal="center" vertical="center" wrapText="1"/>
    </xf>
    <xf numFmtId="0" fontId="75" fillId="13" borderId="15" xfId="0" applyNumberFormat="1" applyFont="1" applyFill="1" applyBorder="1" applyAlignment="1">
      <alignment horizontal="center" vertical="center" wrapText="1"/>
    </xf>
    <xf numFmtId="0" fontId="79" fillId="13" borderId="15" xfId="1" applyNumberFormat="1" applyFont="1" applyFill="1" applyBorder="1" applyAlignment="1">
      <alignment horizontal="center" vertical="center" wrapText="1"/>
    </xf>
    <xf numFmtId="0" fontId="75" fillId="13" borderId="15" xfId="0" applyFont="1" applyFill="1" applyBorder="1" applyAlignment="1">
      <alignment horizontal="center" vertical="center"/>
    </xf>
    <xf numFmtId="0" fontId="2" fillId="13" borderId="15" xfId="19" applyFont="1" applyFill="1" applyBorder="1" applyAlignment="1">
      <alignment horizontal="center" vertical="center"/>
    </xf>
    <xf numFmtId="0" fontId="2" fillId="3" borderId="15" xfId="19" applyFont="1" applyFill="1" applyBorder="1" applyAlignment="1">
      <alignment horizontal="center" vertical="center" wrapText="1"/>
    </xf>
    <xf numFmtId="0" fontId="2" fillId="3" borderId="20" xfId="19" applyFont="1" applyFill="1" applyBorder="1" applyAlignment="1">
      <alignment horizontal="center" vertical="center" wrapText="1"/>
    </xf>
    <xf numFmtId="0" fontId="2" fillId="3" borderId="13" xfId="19" applyFont="1" applyFill="1" applyBorder="1" applyAlignment="1">
      <alignment horizontal="center" vertical="center" wrapText="1"/>
    </xf>
    <xf numFmtId="0" fontId="40" fillId="13" borderId="15" xfId="19" applyFont="1" applyFill="1" applyBorder="1" applyAlignment="1">
      <alignment horizontal="center" vertical="center"/>
    </xf>
    <xf numFmtId="0" fontId="40" fillId="13" borderId="15" xfId="19" applyFont="1" applyFill="1" applyBorder="1" applyAlignment="1">
      <alignment horizontal="center" vertical="center" wrapText="1"/>
    </xf>
    <xf numFmtId="0" fontId="2" fillId="13" borderId="15" xfId="19" applyFont="1" applyFill="1" applyBorder="1" applyAlignment="1">
      <alignment horizontal="center" vertical="center" wrapText="1"/>
    </xf>
    <xf numFmtId="0" fontId="76" fillId="25" borderId="34" xfId="0" applyFont="1" applyFill="1" applyBorder="1" applyAlignment="1">
      <alignment horizontal="center" vertical="center"/>
    </xf>
    <xf numFmtId="0" fontId="76" fillId="25" borderId="60" xfId="0" applyFont="1" applyFill="1" applyBorder="1" applyAlignment="1">
      <alignment horizontal="center" vertical="center"/>
    </xf>
    <xf numFmtId="0" fontId="76" fillId="25" borderId="37" xfId="0" applyFont="1" applyFill="1" applyBorder="1" applyAlignment="1">
      <alignment horizontal="center" vertical="center"/>
    </xf>
    <xf numFmtId="0" fontId="76" fillId="27" borderId="34" xfId="0" applyFont="1" applyFill="1" applyBorder="1" applyAlignment="1">
      <alignment horizontal="center" vertical="center" wrapText="1"/>
    </xf>
    <xf numFmtId="0" fontId="76" fillId="27" borderId="60" xfId="0" applyFont="1" applyFill="1" applyBorder="1" applyAlignment="1">
      <alignment horizontal="center" vertical="center" wrapText="1"/>
    </xf>
    <xf numFmtId="0" fontId="76" fillId="27" borderId="37"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75" fillId="0" borderId="15" xfId="0" applyFont="1" applyFill="1" applyBorder="1" applyAlignment="1">
      <alignment horizontal="left" vertical="center" wrapText="1"/>
    </xf>
    <xf numFmtId="0" fontId="75" fillId="3" borderId="15" xfId="0" applyFont="1" applyFill="1" applyBorder="1" applyAlignment="1">
      <alignment horizontal="justify" vertical="center"/>
    </xf>
    <xf numFmtId="0" fontId="75" fillId="0" borderId="15" xfId="0" applyFont="1" applyBorder="1" applyAlignment="1">
      <alignment horizontal="justify" vertical="center"/>
    </xf>
    <xf numFmtId="0" fontId="75" fillId="0" borderId="15" xfId="0" applyFont="1" applyFill="1" applyBorder="1" applyAlignment="1">
      <alignment horizontal="center" vertical="center" wrapText="1"/>
    </xf>
    <xf numFmtId="0" fontId="75" fillId="0" borderId="20" xfId="0" applyFont="1" applyFill="1" applyBorder="1" applyAlignment="1">
      <alignment horizontal="center" vertical="center"/>
    </xf>
    <xf numFmtId="0" fontId="75" fillId="0" borderId="19" xfId="0" applyFont="1" applyFill="1" applyBorder="1" applyAlignment="1">
      <alignment horizontal="center" vertical="center"/>
    </xf>
    <xf numFmtId="0" fontId="75" fillId="0" borderId="15" xfId="0" applyFont="1" applyFill="1" applyBorder="1" applyAlignment="1">
      <alignment horizontal="center" vertical="center"/>
    </xf>
    <xf numFmtId="0" fontId="77" fillId="3" borderId="20" xfId="0" applyFont="1" applyFill="1" applyBorder="1" applyAlignment="1">
      <alignment horizontal="left" vertical="center" wrapText="1"/>
    </xf>
    <xf numFmtId="0" fontId="77" fillId="3" borderId="19" xfId="0" applyFont="1" applyFill="1" applyBorder="1" applyAlignment="1">
      <alignment horizontal="left" vertical="center" wrapText="1"/>
    </xf>
    <xf numFmtId="0" fontId="77" fillId="3" borderId="13" xfId="0" applyFont="1" applyFill="1" applyBorder="1" applyAlignment="1">
      <alignment horizontal="left" vertical="center" wrapText="1"/>
    </xf>
    <xf numFmtId="0" fontId="70" fillId="27" borderId="33" xfId="19" applyFont="1" applyFill="1" applyBorder="1" applyAlignment="1">
      <alignment horizontal="right" vertical="center" wrapText="1"/>
    </xf>
    <xf numFmtId="0" fontId="70" fillId="27" borderId="57" xfId="19" applyFont="1" applyFill="1" applyBorder="1" applyAlignment="1">
      <alignment horizontal="right" vertical="center" wrapText="1"/>
    </xf>
    <xf numFmtId="0" fontId="2" fillId="0" borderId="15" xfId="19" applyFont="1" applyBorder="1" applyAlignment="1">
      <alignment horizontal="center" vertical="center" wrapText="1"/>
    </xf>
    <xf numFmtId="0" fontId="52" fillId="28" borderId="15" xfId="19" applyFont="1" applyFill="1" applyBorder="1" applyAlignment="1">
      <alignment horizontal="center" vertical="center" wrapText="1"/>
    </xf>
    <xf numFmtId="0" fontId="70" fillId="27" borderId="34" xfId="19" applyFont="1" applyFill="1" applyBorder="1" applyAlignment="1">
      <alignment horizontal="right" vertical="center" wrapText="1"/>
    </xf>
    <xf numFmtId="0" fontId="70" fillId="27" borderId="60" xfId="19" applyFont="1" applyFill="1" applyBorder="1" applyAlignment="1">
      <alignment horizontal="right" vertical="center" wrapText="1"/>
    </xf>
    <xf numFmtId="0" fontId="80" fillId="27" borderId="41" xfId="19" applyFont="1" applyFill="1" applyBorder="1" applyAlignment="1">
      <alignment horizontal="right" vertical="center" wrapText="1"/>
    </xf>
    <xf numFmtId="0" fontId="80" fillId="27" borderId="57" xfId="19" applyFont="1" applyFill="1" applyBorder="1" applyAlignment="1">
      <alignment horizontal="right" vertical="center" wrapText="1"/>
    </xf>
    <xf numFmtId="0" fontId="81" fillId="29" borderId="8" xfId="19" applyFont="1" applyFill="1" applyBorder="1" applyAlignment="1">
      <alignment horizontal="right" vertical="center" wrapText="1"/>
    </xf>
    <xf numFmtId="0" fontId="81" fillId="29" borderId="32" xfId="19" applyFont="1" applyFill="1" applyBorder="1" applyAlignment="1">
      <alignment horizontal="right" vertical="center" wrapText="1"/>
    </xf>
    <xf numFmtId="0" fontId="52" fillId="0" borderId="15" xfId="19" applyFont="1" applyFill="1" applyBorder="1" applyAlignment="1">
      <alignment horizontal="left" vertical="center"/>
    </xf>
    <xf numFmtId="0" fontId="52" fillId="0" borderId="15" xfId="19" applyFont="1" applyFill="1" applyBorder="1" applyAlignment="1">
      <alignment horizontal="left" vertical="center" wrapText="1"/>
    </xf>
    <xf numFmtId="0" fontId="65" fillId="0" borderId="15" xfId="19" applyFont="1" applyFill="1" applyBorder="1" applyAlignment="1">
      <alignment horizontal="left" vertical="center" wrapText="1"/>
    </xf>
    <xf numFmtId="0" fontId="83" fillId="3" borderId="23" xfId="19" applyFont="1" applyFill="1" applyBorder="1" applyAlignment="1">
      <alignment horizontal="center" vertical="center" wrapText="1"/>
    </xf>
    <xf numFmtId="0" fontId="83" fillId="3" borderId="58" xfId="19" applyFont="1" applyFill="1" applyBorder="1" applyAlignment="1">
      <alignment horizontal="center" vertical="center" wrapText="1"/>
    </xf>
    <xf numFmtId="0" fontId="83" fillId="3" borderId="20" xfId="19" applyFont="1" applyFill="1" applyBorder="1" applyAlignment="1">
      <alignment horizontal="center" vertical="center" wrapText="1"/>
    </xf>
    <xf numFmtId="0" fontId="83" fillId="3" borderId="19" xfId="19" applyFont="1" applyFill="1" applyBorder="1" applyAlignment="1">
      <alignment horizontal="center" vertical="center" wrapText="1"/>
    </xf>
    <xf numFmtId="0" fontId="84" fillId="0" borderId="15" xfId="19" applyFont="1" applyBorder="1" applyAlignment="1">
      <alignment horizontal="center" vertical="center" wrapText="1"/>
    </xf>
    <xf numFmtId="0" fontId="75" fillId="0" borderId="15" xfId="19" applyFont="1" applyFill="1" applyBorder="1" applyAlignment="1">
      <alignment horizontal="center" vertical="center" wrapText="1"/>
    </xf>
    <xf numFmtId="173" fontId="75" fillId="0" borderId="20" xfId="22" applyNumberFormat="1" applyFont="1" applyFill="1" applyBorder="1" applyAlignment="1">
      <alignment horizontal="left" vertical="center" wrapText="1"/>
    </xf>
    <xf numFmtId="173" fontId="75" fillId="0" borderId="19" xfId="22" applyNumberFormat="1" applyFont="1" applyFill="1" applyBorder="1" applyAlignment="1">
      <alignment horizontal="left" vertical="center" wrapText="1"/>
    </xf>
    <xf numFmtId="173" fontId="75" fillId="0" borderId="13" xfId="22" applyNumberFormat="1" applyFont="1" applyFill="1" applyBorder="1" applyAlignment="1">
      <alignment horizontal="left" vertical="center" wrapText="1"/>
    </xf>
    <xf numFmtId="0" fontId="75" fillId="0" borderId="20" xfId="19" applyFont="1" applyFill="1" applyBorder="1" applyAlignment="1">
      <alignment horizontal="left" vertical="center" wrapText="1"/>
    </xf>
    <xf numFmtId="0" fontId="75" fillId="0" borderId="19" xfId="19" applyFont="1" applyFill="1" applyBorder="1" applyAlignment="1">
      <alignment horizontal="left" vertical="center" wrapText="1"/>
    </xf>
    <xf numFmtId="0" fontId="75" fillId="0" borderId="13" xfId="19" applyFont="1" applyFill="1" applyBorder="1" applyAlignment="1">
      <alignment horizontal="left" vertical="center" wrapText="1"/>
    </xf>
    <xf numFmtId="0" fontId="67" fillId="0" borderId="15" xfId="19" applyFont="1" applyFill="1" applyBorder="1" applyAlignment="1">
      <alignment horizontal="left" vertical="center" wrapText="1"/>
    </xf>
    <xf numFmtId="0" fontId="81" fillId="0" borderId="15" xfId="19" applyFont="1" applyFill="1" applyBorder="1" applyAlignment="1">
      <alignment horizontal="left" vertical="center" wrapText="1"/>
    </xf>
    <xf numFmtId="174" fontId="67" fillId="0" borderId="15" xfId="19" applyNumberFormat="1" applyFont="1" applyFill="1" applyBorder="1" applyAlignment="1">
      <alignment horizontal="left" vertical="center" wrapText="1"/>
    </xf>
    <xf numFmtId="0" fontId="73" fillId="9" borderId="15" xfId="19" applyFont="1" applyFill="1" applyBorder="1" applyAlignment="1">
      <alignment horizontal="right" vertical="center" wrapText="1"/>
    </xf>
    <xf numFmtId="0" fontId="76" fillId="30" borderId="15" xfId="19" applyFont="1" applyFill="1" applyBorder="1" applyAlignment="1">
      <alignment horizontal="center" vertical="center" wrapText="1"/>
    </xf>
    <xf numFmtId="0" fontId="76" fillId="27" borderId="15" xfId="0" applyFont="1" applyFill="1" applyBorder="1" applyAlignment="1">
      <alignment horizontal="right" vertical="center" wrapText="1"/>
    </xf>
    <xf numFmtId="0" fontId="75" fillId="3" borderId="20" xfId="0" applyFont="1" applyFill="1" applyBorder="1" applyAlignment="1">
      <alignment horizontal="left" vertical="center" wrapText="1"/>
    </xf>
    <xf numFmtId="0" fontId="75" fillId="3" borderId="13" xfId="0" applyFont="1" applyFill="1" applyBorder="1" applyAlignment="1">
      <alignment horizontal="left" vertical="center" wrapText="1"/>
    </xf>
    <xf numFmtId="0" fontId="75" fillId="3" borderId="15" xfId="0" applyFont="1" applyFill="1" applyBorder="1" applyAlignment="1">
      <alignment horizontal="center" vertical="center" wrapText="1"/>
    </xf>
    <xf numFmtId="0" fontId="75" fillId="3" borderId="15" xfId="0" applyFont="1" applyFill="1" applyBorder="1" applyAlignment="1">
      <alignment horizontal="center" vertical="center"/>
    </xf>
    <xf numFmtId="0" fontId="26" fillId="29" borderId="15" xfId="0" applyFont="1" applyFill="1" applyBorder="1" applyAlignment="1">
      <alignment horizontal="right" vertical="center"/>
    </xf>
    <xf numFmtId="0" fontId="76" fillId="30" borderId="34" xfId="19" applyFont="1" applyFill="1" applyBorder="1" applyAlignment="1">
      <alignment horizontal="center" vertical="center" wrapText="1"/>
    </xf>
    <xf numFmtId="0" fontId="76" fillId="30" borderId="60" xfId="19" applyFont="1" applyFill="1" applyBorder="1" applyAlignment="1">
      <alignment horizontal="center" vertical="center" wrapText="1"/>
    </xf>
    <xf numFmtId="0" fontId="75" fillId="0" borderId="20" xfId="19" applyFont="1" applyFill="1" applyBorder="1" applyAlignment="1">
      <alignment horizontal="center" vertical="center" wrapText="1"/>
    </xf>
    <xf numFmtId="0" fontId="75" fillId="0" borderId="19" xfId="19" applyFont="1" applyFill="1" applyBorder="1" applyAlignment="1">
      <alignment horizontal="center" vertical="center" wrapText="1"/>
    </xf>
    <xf numFmtId="0" fontId="76" fillId="30" borderId="20" xfId="19" applyFont="1" applyFill="1" applyBorder="1" applyAlignment="1">
      <alignment horizontal="center" vertical="center" wrapText="1"/>
    </xf>
    <xf numFmtId="0" fontId="76" fillId="7" borderId="13" xfId="19" applyFont="1" applyFill="1" applyBorder="1" applyAlignment="1">
      <alignment horizontal="center" vertical="center" wrapText="1"/>
    </xf>
    <xf numFmtId="0" fontId="75" fillId="0" borderId="13" xfId="19" applyFont="1" applyFill="1" applyBorder="1" applyAlignment="1">
      <alignment horizontal="center" vertical="center" wrapText="1"/>
    </xf>
    <xf numFmtId="0" fontId="26" fillId="0" borderId="15" xfId="0" applyFont="1" applyFill="1" applyBorder="1" applyAlignment="1">
      <alignment horizontal="center" vertical="center" wrapText="1"/>
    </xf>
    <xf numFmtId="0" fontId="75" fillId="28" borderId="20" xfId="0" applyFont="1" applyFill="1" applyBorder="1" applyAlignment="1">
      <alignment horizontal="left" vertical="center" wrapText="1"/>
    </xf>
    <xf numFmtId="0" fontId="75" fillId="28" borderId="19" xfId="0" applyFont="1" applyFill="1" applyBorder="1" applyAlignment="1">
      <alignment horizontal="left" vertical="center" wrapText="1"/>
    </xf>
    <xf numFmtId="0" fontId="75" fillId="28" borderId="13" xfId="0" applyFont="1" applyFill="1" applyBorder="1" applyAlignment="1">
      <alignment horizontal="left" vertical="center" wrapText="1"/>
    </xf>
    <xf numFmtId="9" fontId="75" fillId="3" borderId="15" xfId="0" applyNumberFormat="1" applyFont="1" applyFill="1" applyBorder="1" applyAlignment="1">
      <alignment horizontal="center" vertical="center"/>
    </xf>
    <xf numFmtId="0" fontId="75" fillId="28" borderId="15" xfId="0" applyFont="1" applyFill="1" applyBorder="1" applyAlignment="1">
      <alignment horizontal="center" vertical="center" wrapText="1"/>
    </xf>
    <xf numFmtId="0" fontId="2" fillId="3" borderId="15" xfId="19" applyFont="1" applyFill="1" applyBorder="1" applyAlignment="1">
      <alignment horizontal="center" vertical="center"/>
    </xf>
    <xf numFmtId="0" fontId="72" fillId="3" borderId="20" xfId="19" applyFont="1" applyFill="1" applyBorder="1" applyAlignment="1">
      <alignment horizontal="center" vertical="center" wrapText="1"/>
    </xf>
    <xf numFmtId="0" fontId="72" fillId="3" borderId="19" xfId="19" applyFont="1" applyFill="1" applyBorder="1" applyAlignment="1">
      <alignment horizontal="center" vertical="center" wrapText="1"/>
    </xf>
    <xf numFmtId="0" fontId="72" fillId="3" borderId="13" xfId="19" applyFont="1" applyFill="1" applyBorder="1" applyAlignment="1">
      <alignment horizontal="center" vertical="center" wrapText="1"/>
    </xf>
    <xf numFmtId="0" fontId="52" fillId="0" borderId="15" xfId="19" applyFont="1" applyFill="1" applyBorder="1" applyAlignment="1">
      <alignment horizontal="justify" vertical="center" wrapText="1"/>
    </xf>
    <xf numFmtId="0" fontId="72" fillId="3" borderId="15" xfId="19" applyFont="1" applyFill="1" applyBorder="1" applyAlignment="1">
      <alignment horizontal="justify" vertical="center" wrapText="1"/>
    </xf>
    <xf numFmtId="0" fontId="2" fillId="0" borderId="20" xfId="19" applyFont="1" applyBorder="1" applyAlignment="1">
      <alignment horizontal="center" vertical="center" wrapText="1"/>
    </xf>
    <xf numFmtId="0" fontId="2" fillId="0" borderId="19" xfId="19" applyFont="1" applyBorder="1" applyAlignment="1">
      <alignment horizontal="center" vertical="center" wrapText="1"/>
    </xf>
    <xf numFmtId="0" fontId="2" fillId="3" borderId="20" xfId="19" applyFont="1" applyFill="1" applyBorder="1" applyAlignment="1">
      <alignment horizontal="center" vertical="center"/>
    </xf>
    <xf numFmtId="0" fontId="2" fillId="3" borderId="13" xfId="19" applyFont="1" applyFill="1" applyBorder="1" applyAlignment="1">
      <alignment horizontal="center" vertical="center"/>
    </xf>
    <xf numFmtId="0" fontId="77" fillId="3" borderId="15" xfId="0" applyFont="1" applyFill="1" applyBorder="1" applyAlignment="1">
      <alignment horizontal="center" vertical="center" wrapText="1"/>
    </xf>
    <xf numFmtId="0" fontId="77" fillId="3" borderId="15" xfId="1" applyNumberFormat="1" applyFont="1" applyFill="1" applyBorder="1" applyAlignment="1">
      <alignment horizontal="center" vertical="center" wrapText="1"/>
    </xf>
    <xf numFmtId="0" fontId="75" fillId="0" borderId="15" xfId="1" applyNumberFormat="1" applyFont="1" applyBorder="1" applyAlignment="1">
      <alignment horizontal="center" vertical="center" wrapText="1"/>
    </xf>
    <xf numFmtId="0" fontId="75" fillId="0" borderId="15" xfId="0" applyFont="1" applyBorder="1" applyAlignment="1">
      <alignment horizontal="center" vertical="center"/>
    </xf>
    <xf numFmtId="49" fontId="75" fillId="0" borderId="15" xfId="0" applyNumberFormat="1" applyFont="1" applyFill="1" applyBorder="1" applyAlignment="1">
      <alignment horizontal="left" vertical="center" wrapText="1"/>
    </xf>
    <xf numFmtId="164" fontId="70" fillId="25" borderId="34" xfId="20" applyFont="1" applyFill="1" applyBorder="1" applyAlignment="1">
      <alignment horizontal="right" vertical="center"/>
    </xf>
    <xf numFmtId="164" fontId="70" fillId="25" borderId="60" xfId="20" applyFont="1" applyFill="1" applyBorder="1" applyAlignment="1">
      <alignment horizontal="right" vertical="center"/>
    </xf>
    <xf numFmtId="0" fontId="72" fillId="3" borderId="15" xfId="19" applyFont="1" applyFill="1" applyBorder="1" applyAlignment="1">
      <alignment horizontal="center" vertical="center" wrapText="1"/>
    </xf>
    <xf numFmtId="0" fontId="77" fillId="3" borderId="15" xfId="0" applyNumberFormat="1" applyFont="1" applyFill="1" applyBorder="1" applyAlignment="1">
      <alignment horizontal="center" vertical="center" wrapText="1"/>
    </xf>
    <xf numFmtId="0" fontId="75" fillId="0" borderId="15" xfId="0" applyNumberFormat="1" applyFont="1" applyBorder="1" applyAlignment="1">
      <alignment horizontal="center" vertical="center" wrapText="1"/>
    </xf>
    <xf numFmtId="0" fontId="26" fillId="29" borderId="15" xfId="0" applyFont="1" applyFill="1" applyBorder="1" applyAlignment="1">
      <alignment horizontal="right" vertical="center" wrapText="1"/>
    </xf>
    <xf numFmtId="0" fontId="65" fillId="0" borderId="15" xfId="19" applyFont="1" applyFill="1" applyBorder="1" applyAlignment="1">
      <alignment horizontal="center" vertical="center" wrapText="1"/>
    </xf>
    <xf numFmtId="1" fontId="84" fillId="0" borderId="15" xfId="19" applyNumberFormat="1" applyFont="1" applyBorder="1" applyAlignment="1">
      <alignment horizontal="center" vertical="center" wrapText="1"/>
    </xf>
    <xf numFmtId="0" fontId="85" fillId="0" borderId="15" xfId="19" applyFont="1" applyBorder="1" applyAlignment="1">
      <alignment horizontal="center" vertical="center" wrapText="1"/>
    </xf>
    <xf numFmtId="0" fontId="79" fillId="3" borderId="15" xfId="0" applyFont="1" applyFill="1" applyBorder="1" applyAlignment="1">
      <alignment horizontal="center" vertical="center"/>
    </xf>
    <xf numFmtId="2" fontId="75" fillId="0" borderId="15" xfId="19" applyNumberFormat="1" applyFont="1" applyFill="1" applyBorder="1" applyAlignment="1">
      <alignment horizontal="center" vertical="center" wrapText="1"/>
    </xf>
    <xf numFmtId="0" fontId="33" fillId="3" borderId="15" xfId="24" applyFont="1" applyFill="1" applyBorder="1" applyAlignment="1">
      <alignment horizontal="justify" vertical="top"/>
    </xf>
    <xf numFmtId="0" fontId="33" fillId="3" borderId="17" xfId="24" applyFont="1" applyFill="1" applyBorder="1" applyAlignment="1">
      <alignment horizontal="center" vertical="center"/>
    </xf>
    <xf numFmtId="0" fontId="33" fillId="3" borderId="12" xfId="24" applyFont="1" applyFill="1" applyBorder="1" applyAlignment="1">
      <alignment horizontal="center" vertical="center"/>
    </xf>
    <xf numFmtId="0" fontId="33" fillId="3" borderId="26" xfId="24" applyFont="1" applyFill="1" applyBorder="1" applyAlignment="1">
      <alignment horizontal="center" vertical="center"/>
    </xf>
    <xf numFmtId="0" fontId="35" fillId="3" borderId="13" xfId="24" applyFont="1" applyFill="1" applyBorder="1" applyAlignment="1">
      <alignment horizontal="center" vertical="center" wrapText="1"/>
    </xf>
    <xf numFmtId="0" fontId="35" fillId="3" borderId="15" xfId="24" applyFont="1" applyFill="1" applyBorder="1" applyAlignment="1">
      <alignment horizontal="center" vertical="center" wrapText="1"/>
    </xf>
    <xf numFmtId="0" fontId="35" fillId="3" borderId="27" xfId="24" applyFont="1" applyFill="1" applyBorder="1" applyAlignment="1">
      <alignment horizontal="center" vertical="center" wrapText="1"/>
    </xf>
    <xf numFmtId="0" fontId="33" fillId="3" borderId="13" xfId="24" applyFont="1" applyFill="1" applyBorder="1" applyAlignment="1">
      <alignment horizontal="left" vertical="center" wrapText="1"/>
    </xf>
    <xf numFmtId="0" fontId="33" fillId="3" borderId="15" xfId="24" applyFont="1" applyFill="1" applyBorder="1" applyAlignment="1">
      <alignment horizontal="left" vertical="center" wrapText="1"/>
    </xf>
    <xf numFmtId="0" fontId="33" fillId="0" borderId="35" xfId="24" applyFont="1" applyFill="1" applyBorder="1" applyAlignment="1">
      <alignment horizontal="center" vertical="center"/>
    </xf>
    <xf numFmtId="0" fontId="33" fillId="0" borderId="12" xfId="24" applyFont="1" applyFill="1" applyBorder="1" applyAlignment="1">
      <alignment horizontal="center" vertical="center"/>
    </xf>
    <xf numFmtId="0" fontId="33" fillId="0" borderId="26" xfId="24" applyFont="1" applyFill="1" applyBorder="1" applyAlignment="1">
      <alignment horizontal="center" vertical="center"/>
    </xf>
    <xf numFmtId="0" fontId="35" fillId="3" borderId="46" xfId="24" applyFont="1" applyFill="1" applyBorder="1" applyAlignment="1">
      <alignment horizontal="center" vertical="center" wrapText="1"/>
    </xf>
    <xf numFmtId="0" fontId="33" fillId="3" borderId="46" xfId="24" applyFont="1" applyFill="1" applyBorder="1" applyAlignment="1">
      <alignment horizontal="center" vertical="center" wrapText="1"/>
    </xf>
    <xf numFmtId="0" fontId="33" fillId="3" borderId="15" xfId="24" applyFont="1" applyFill="1" applyBorder="1" applyAlignment="1">
      <alignment horizontal="center" vertical="center" wrapText="1"/>
    </xf>
    <xf numFmtId="0" fontId="33" fillId="3" borderId="27" xfId="24" applyFont="1" applyFill="1" applyBorder="1" applyAlignment="1">
      <alignment horizontal="center" vertical="center" wrapText="1"/>
    </xf>
    <xf numFmtId="0" fontId="33" fillId="3" borderId="35" xfId="24" applyFont="1" applyFill="1" applyBorder="1" applyAlignment="1">
      <alignment horizontal="center" vertical="center"/>
    </xf>
    <xf numFmtId="0" fontId="33" fillId="3" borderId="15" xfId="24" applyFont="1" applyFill="1" applyBorder="1" applyAlignment="1">
      <alignment horizontal="justify" vertical="center"/>
    </xf>
    <xf numFmtId="0" fontId="88" fillId="0" borderId="35" xfId="24" applyFont="1" applyFill="1" applyBorder="1" applyAlignment="1">
      <alignment horizontal="center" vertical="center"/>
    </xf>
    <xf numFmtId="0" fontId="88" fillId="0" borderId="12" xfId="24" applyFont="1" applyFill="1" applyBorder="1" applyAlignment="1">
      <alignment horizontal="center" vertical="center"/>
    </xf>
    <xf numFmtId="0" fontId="88" fillId="0" borderId="26" xfId="24" applyFont="1" applyFill="1" applyBorder="1" applyAlignment="1">
      <alignment horizontal="center" vertical="center"/>
    </xf>
    <xf numFmtId="0" fontId="35" fillId="0" borderId="46" xfId="24" applyFont="1" applyFill="1" applyBorder="1" applyAlignment="1">
      <alignment horizontal="center" vertical="center" wrapText="1"/>
    </xf>
    <xf numFmtId="0" fontId="35" fillId="0" borderId="15" xfId="24" applyFont="1" applyFill="1" applyBorder="1" applyAlignment="1">
      <alignment horizontal="center" vertical="center" wrapText="1"/>
    </xf>
    <xf numFmtId="0" fontId="35" fillId="0" borderId="27" xfId="24" applyFont="1" applyFill="1" applyBorder="1" applyAlignment="1">
      <alignment horizontal="center" vertical="center" wrapText="1"/>
    </xf>
    <xf numFmtId="0" fontId="33" fillId="3" borderId="46" xfId="24" applyFont="1" applyFill="1" applyBorder="1" applyAlignment="1">
      <alignment horizontal="justify" vertical="center" wrapText="1"/>
    </xf>
    <xf numFmtId="0" fontId="33" fillId="3" borderId="15" xfId="24" applyFont="1" applyFill="1" applyBorder="1" applyAlignment="1">
      <alignment horizontal="justify" vertical="center" wrapText="1"/>
    </xf>
    <xf numFmtId="0" fontId="33" fillId="0" borderId="15" xfId="24" applyFont="1" applyFill="1" applyBorder="1" applyAlignment="1">
      <alignment horizontal="left" vertical="center" wrapText="1"/>
    </xf>
    <xf numFmtId="0" fontId="33" fillId="0" borderId="27" xfId="24" applyFont="1" applyFill="1" applyBorder="1" applyAlignment="1">
      <alignment horizontal="left" vertical="center" wrapText="1"/>
    </xf>
    <xf numFmtId="0" fontId="47" fillId="3" borderId="50" xfId="24" applyFont="1" applyFill="1" applyBorder="1" applyAlignment="1">
      <alignment vertical="top" wrapText="1"/>
    </xf>
    <xf numFmtId="0" fontId="47" fillId="3" borderId="4" xfId="24" applyFont="1" applyFill="1" applyBorder="1" applyAlignment="1">
      <alignment vertical="top" wrapText="1"/>
    </xf>
    <xf numFmtId="0" fontId="47" fillId="3" borderId="5" xfId="24" applyFont="1" applyFill="1" applyBorder="1" applyAlignment="1">
      <alignment vertical="top" wrapText="1"/>
    </xf>
    <xf numFmtId="0" fontId="31" fillId="19" borderId="35" xfId="24" applyFont="1" applyFill="1" applyBorder="1" applyAlignment="1">
      <alignment horizontal="center" vertical="center" wrapText="1"/>
    </xf>
    <xf numFmtId="0" fontId="31" fillId="19" borderId="23" xfId="24" applyFont="1" applyFill="1" applyBorder="1" applyAlignment="1">
      <alignment horizontal="center" vertical="center" wrapText="1"/>
    </xf>
    <xf numFmtId="0" fontId="31" fillId="19" borderId="46" xfId="24" applyFont="1" applyFill="1" applyBorder="1" applyAlignment="1">
      <alignment horizontal="center" vertical="center" wrapText="1"/>
    </xf>
    <xf numFmtId="0" fontId="31" fillId="19" borderId="20" xfId="24" applyFont="1" applyFill="1" applyBorder="1" applyAlignment="1">
      <alignment horizontal="center" vertical="center" wrapText="1"/>
    </xf>
    <xf numFmtId="0" fontId="31" fillId="19" borderId="46" xfId="24" applyFont="1" applyFill="1" applyBorder="1" applyAlignment="1" applyProtection="1">
      <alignment horizontal="center" vertical="center" wrapText="1"/>
      <protection locked="0"/>
    </xf>
    <xf numFmtId="0" fontId="31" fillId="19" borderId="20" xfId="24" applyFont="1" applyFill="1" applyBorder="1" applyAlignment="1" applyProtection="1">
      <alignment horizontal="center" vertical="center" wrapText="1"/>
      <protection locked="0"/>
    </xf>
    <xf numFmtId="0" fontId="31" fillId="19" borderId="56" xfId="24" applyFont="1" applyFill="1" applyBorder="1" applyAlignment="1">
      <alignment horizontal="center" vertical="center" wrapText="1"/>
    </xf>
    <xf numFmtId="0" fontId="31" fillId="19" borderId="62" xfId="24" applyFont="1" applyFill="1" applyBorder="1" applyAlignment="1">
      <alignment horizontal="center" vertical="center" wrapText="1"/>
    </xf>
    <xf numFmtId="0" fontId="86" fillId="19" borderId="56" xfId="24" applyFont="1" applyFill="1" applyBorder="1" applyAlignment="1" applyProtection="1">
      <alignment horizontal="center" vertical="center" wrapText="1"/>
      <protection locked="0"/>
    </xf>
    <xf numFmtId="0" fontId="86" fillId="19" borderId="68" xfId="24" applyFont="1" applyFill="1" applyBorder="1" applyAlignment="1" applyProtection="1">
      <alignment horizontal="center" vertical="center" wrapText="1"/>
      <protection locked="0"/>
    </xf>
    <xf numFmtId="0" fontId="86" fillId="19" borderId="44" xfId="24" applyFont="1" applyFill="1" applyBorder="1" applyAlignment="1" applyProtection="1">
      <alignment horizontal="center" vertical="center" wrapText="1"/>
      <protection locked="0"/>
    </xf>
    <xf numFmtId="9" fontId="14" fillId="33" borderId="56" xfId="1" applyFont="1" applyFill="1" applyBorder="1" applyAlignment="1">
      <alignment horizontal="center" vertical="center"/>
    </xf>
    <xf numFmtId="9" fontId="14" fillId="33" borderId="44" xfId="1" applyFont="1" applyFill="1" applyBorder="1" applyAlignment="1">
      <alignment horizontal="center" vertical="center"/>
    </xf>
    <xf numFmtId="9" fontId="14" fillId="33" borderId="34" xfId="1" applyFont="1" applyFill="1" applyBorder="1" applyAlignment="1">
      <alignment horizontal="center" vertical="center"/>
    </xf>
    <xf numFmtId="9" fontId="14" fillId="33" borderId="37" xfId="1" applyFont="1" applyFill="1" applyBorder="1" applyAlignment="1">
      <alignment horizontal="center" vertical="center"/>
    </xf>
    <xf numFmtId="0" fontId="14" fillId="33" borderId="34" xfId="4" applyFont="1" applyFill="1" applyBorder="1" applyAlignment="1">
      <alignment horizontal="center" vertical="center"/>
    </xf>
    <xf numFmtId="0" fontId="14" fillId="33" borderId="37" xfId="4" applyFont="1" applyFill="1" applyBorder="1" applyAlignment="1">
      <alignment horizontal="center" vertical="center"/>
    </xf>
  </cellXfs>
  <cellStyles count="27">
    <cellStyle name="Buena" xfId="2" builtinId="26"/>
    <cellStyle name="Hipervínculo" xfId="17" builtinId="8"/>
    <cellStyle name="Millares 2" xfId="15"/>
    <cellStyle name="Millares 3" xfId="22"/>
    <cellStyle name="Moneda" xfId="5" builtinId="4"/>
    <cellStyle name="Moneda [0] 2" xfId="23"/>
    <cellStyle name="Moneda 2" xfId="20"/>
    <cellStyle name="Normal" xfId="0" builtinId="0"/>
    <cellStyle name="Normal 2" xfId="4"/>
    <cellStyle name="Normal 2 2" xfId="11"/>
    <cellStyle name="Normal 2 2 2" xfId="18"/>
    <cellStyle name="Normal 3" xfId="3"/>
    <cellStyle name="Normal 3 2" xfId="10"/>
    <cellStyle name="Normal 4" xfId="7"/>
    <cellStyle name="Normal 4 2" xfId="24"/>
    <cellStyle name="Normal 5" xfId="8"/>
    <cellStyle name="Normal 5 2" xfId="16"/>
    <cellStyle name="Normal 6" xfId="13"/>
    <cellStyle name="Normal 7" xfId="19"/>
    <cellStyle name="Normal 8" xfId="25"/>
    <cellStyle name="Porcentaje" xfId="1" builtinId="5"/>
    <cellStyle name="Porcentaje 2" xfId="6"/>
    <cellStyle name="Porcentaje 2 2" xfId="14"/>
    <cellStyle name="Porcentaje 3" xfId="12"/>
    <cellStyle name="Porcentaje 3 2" xfId="26"/>
    <cellStyle name="Porcentaje 4" xfId="21"/>
    <cellStyle name="Porcentual 2" xfId="9"/>
  </cellStyles>
  <dxfs count="157">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30" formatCode="@"/>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1" formatCode="0"/>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169" formatCode="[$-10C0A]#,##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9" formatCode="[$-10C0A]#,##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scheme val="minor"/>
      </font>
      <numFmt numFmtId="169" formatCode="[$-10C0A]#,##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rgb="FFFF0000"/>
        <name val="Arial Narrow"/>
        <scheme val="none"/>
      </font>
      <numFmt numFmtId="0" formatCode="General"/>
      <fill>
        <patternFill patternType="none">
          <fgColor indexed="64"/>
          <bgColor indexed="65"/>
        </patternFill>
      </fill>
      <alignment horizontal="justify" vertical="center" textRotation="0" wrapText="1"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1"/>
        <color rgb="FFFF0000"/>
        <name val="Arial Narrow"/>
        <scheme val="none"/>
      </font>
      <fill>
        <patternFill patternType="none">
          <fgColor indexed="64"/>
          <bgColor auto="1"/>
        </patternFill>
      </fill>
      <alignment horizontal="justify"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GEyP!$D$25</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GEyP!$C$26:$C$33</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GEyP!$D$26:$D$33</c:f>
              <c:numCache>
                <c:formatCode>0.0%</c:formatCode>
                <c:ptCount val="8"/>
                <c:pt idx="0">
                  <c:v>0.2</c:v>
                </c:pt>
                <c:pt idx="1">
                  <c:v>0.3</c:v>
                </c:pt>
                <c:pt idx="2">
                  <c:v>0.1</c:v>
                </c:pt>
                <c:pt idx="3">
                  <c:v>0.1</c:v>
                </c:pt>
                <c:pt idx="4">
                  <c:v>0.1</c:v>
                </c:pt>
                <c:pt idx="5">
                  <c:v>0.05</c:v>
                </c:pt>
                <c:pt idx="6">
                  <c:v>0.05</c:v>
                </c:pt>
                <c:pt idx="7">
                  <c:v>0.1</c:v>
                </c:pt>
              </c:numCache>
            </c:numRef>
          </c:val>
        </c:ser>
        <c:ser>
          <c:idx val="1"/>
          <c:order val="1"/>
          <c:tx>
            <c:strRef>
              <c:f>GEyP!$E$25</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GEyP!$C$26:$C$33</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GEyP!$E$26:$E$33</c:f>
              <c:numCache>
                <c:formatCode>0.0%</c:formatCode>
                <c:ptCount val="8"/>
                <c:pt idx="0">
                  <c:v>0.19920000000000002</c:v>
                </c:pt>
                <c:pt idx="1">
                  <c:v>0</c:v>
                </c:pt>
                <c:pt idx="2">
                  <c:v>0</c:v>
                </c:pt>
                <c:pt idx="3">
                  <c:v>0</c:v>
                </c:pt>
                <c:pt idx="4">
                  <c:v>0.1</c:v>
                </c:pt>
                <c:pt idx="5">
                  <c:v>2.5000000000000001E-2</c:v>
                </c:pt>
                <c:pt idx="6">
                  <c:v>0</c:v>
                </c:pt>
                <c:pt idx="7">
                  <c:v>4.7916666666666677E-2</c:v>
                </c:pt>
              </c:numCache>
            </c:numRef>
          </c:val>
        </c:ser>
        <c:dLbls>
          <c:showLegendKey val="0"/>
          <c:showVal val="1"/>
          <c:showCatName val="0"/>
          <c:showSerName val="0"/>
          <c:showPercent val="0"/>
          <c:showBubbleSize val="0"/>
        </c:dLbls>
        <c:gapWidth val="75"/>
        <c:axId val="415603776"/>
        <c:axId val="415604952"/>
      </c:barChart>
      <c:catAx>
        <c:axId val="415603776"/>
        <c:scaling>
          <c:orientation val="minMax"/>
        </c:scaling>
        <c:delete val="0"/>
        <c:axPos val="b"/>
        <c:numFmt formatCode="General" sourceLinked="0"/>
        <c:majorTickMark val="none"/>
        <c:minorTickMark val="none"/>
        <c:tickLblPos val="nextTo"/>
        <c:crossAx val="415604952"/>
        <c:crosses val="autoZero"/>
        <c:auto val="1"/>
        <c:lblAlgn val="ctr"/>
        <c:lblOffset val="100"/>
        <c:noMultiLvlLbl val="0"/>
      </c:catAx>
      <c:valAx>
        <c:axId val="415604952"/>
        <c:scaling>
          <c:orientation val="minMax"/>
        </c:scaling>
        <c:delete val="0"/>
        <c:axPos val="l"/>
        <c:numFmt formatCode="0.0%" sourceLinked="1"/>
        <c:majorTickMark val="none"/>
        <c:minorTickMark val="none"/>
        <c:tickLblPos val="nextTo"/>
        <c:crossAx val="4156037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GEyP!$D$37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GEyP!$C$38:$C$45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GEyP!$D$38:$D$45</c:f>
              <c:numCache>
                <c:formatCode>0.00%</c:formatCode>
                <c:ptCount val="8"/>
                <c:pt idx="0">
                  <c:v>7.000000000000001E-3</c:v>
                </c:pt>
                <c:pt idx="1">
                  <c:v>0</c:v>
                </c:pt>
                <c:pt idx="2">
                  <c:v>0</c:v>
                </c:pt>
                <c:pt idx="3">
                  <c:v>0</c:v>
                </c:pt>
                <c:pt idx="4">
                  <c:v>0</c:v>
                </c:pt>
                <c:pt idx="5">
                  <c:v>1.2500000000000001E-2</c:v>
                </c:pt>
                <c:pt idx="6">
                  <c:v>0</c:v>
                </c:pt>
                <c:pt idx="7">
                  <c:v>2.5000000000000001E-2</c:v>
                </c:pt>
              </c:numCache>
            </c:numRef>
          </c:val>
        </c:ser>
        <c:ser>
          <c:idx val="1"/>
          <c:order val="1"/>
          <c:tx>
            <c:strRef>
              <c:f>GEyP!$E$37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GEyP!$C$38:$C$45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GEyP!$E$38:$E$45</c:f>
              <c:numCache>
                <c:formatCode>0.00%</c:formatCode>
                <c:ptCount val="8"/>
                <c:pt idx="0">
                  <c:v>0.19920000000000002</c:v>
                </c:pt>
                <c:pt idx="1">
                  <c:v>0</c:v>
                </c:pt>
                <c:pt idx="2">
                  <c:v>0</c:v>
                </c:pt>
                <c:pt idx="3">
                  <c:v>0</c:v>
                </c:pt>
                <c:pt idx="4">
                  <c:v>0.1</c:v>
                </c:pt>
                <c:pt idx="5">
                  <c:v>2.5000000000000001E-2</c:v>
                </c:pt>
                <c:pt idx="6">
                  <c:v>0</c:v>
                </c:pt>
                <c:pt idx="7">
                  <c:v>4.7916666666666677E-2</c:v>
                </c:pt>
              </c:numCache>
            </c:numRef>
          </c:val>
        </c:ser>
        <c:dLbls>
          <c:showLegendKey val="0"/>
          <c:showVal val="1"/>
          <c:showCatName val="0"/>
          <c:showSerName val="0"/>
          <c:showPercent val="0"/>
          <c:showBubbleSize val="0"/>
        </c:dLbls>
        <c:gapWidth val="75"/>
        <c:axId val="415602208"/>
        <c:axId val="415607696"/>
      </c:barChart>
      <c:catAx>
        <c:axId val="415602208"/>
        <c:scaling>
          <c:orientation val="minMax"/>
        </c:scaling>
        <c:delete val="0"/>
        <c:axPos val="b"/>
        <c:numFmt formatCode="General" sourceLinked="0"/>
        <c:majorTickMark val="none"/>
        <c:minorTickMark val="none"/>
        <c:tickLblPos val="nextTo"/>
        <c:crossAx val="415607696"/>
        <c:crosses val="autoZero"/>
        <c:auto val="1"/>
        <c:lblAlgn val="ctr"/>
        <c:lblOffset val="100"/>
        <c:noMultiLvlLbl val="0"/>
      </c:catAx>
      <c:valAx>
        <c:axId val="415607696"/>
        <c:scaling>
          <c:orientation val="minMax"/>
        </c:scaling>
        <c:delete val="0"/>
        <c:axPos val="l"/>
        <c:numFmt formatCode="0.00%" sourceLinked="1"/>
        <c:majorTickMark val="none"/>
        <c:minorTickMark val="none"/>
        <c:tickLblPos val="nextTo"/>
        <c:crossAx val="4156022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tx2">
                  <a:lumMod val="60000"/>
                  <a:lumOff val="40000"/>
                </a:schemeClr>
              </a:solidFill>
            </c:spPr>
          </c:dPt>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GEyP!$D$37:$E$37</c:f>
              <c:strCache>
                <c:ptCount val="2"/>
                <c:pt idx="0">
                  <c:v>% AVANCE ESPERADO X ACTIVIDAD</c:v>
                </c:pt>
                <c:pt idx="1">
                  <c:v>% AVANCE EJECUTADO X ACTIVIDAD</c:v>
                </c:pt>
              </c:strCache>
            </c:strRef>
          </c:cat>
          <c:val>
            <c:numRef>
              <c:f>GEyP!$D$46:$E$46</c:f>
              <c:numCache>
                <c:formatCode>0.00%</c:formatCode>
                <c:ptCount val="2"/>
                <c:pt idx="0">
                  <c:v>4.4500000000000005E-2</c:v>
                </c:pt>
                <c:pt idx="1">
                  <c:v>0.37211666666666671</c:v>
                </c:pt>
              </c:numCache>
            </c:numRef>
          </c:val>
        </c:ser>
        <c:dLbls>
          <c:showLegendKey val="0"/>
          <c:showVal val="1"/>
          <c:showCatName val="0"/>
          <c:showSerName val="0"/>
          <c:showPercent val="0"/>
          <c:showBubbleSize val="0"/>
        </c:dLbls>
        <c:gapWidth val="75"/>
        <c:axId val="413947360"/>
        <c:axId val="413947752"/>
      </c:barChart>
      <c:catAx>
        <c:axId val="413947360"/>
        <c:scaling>
          <c:orientation val="minMax"/>
        </c:scaling>
        <c:delete val="0"/>
        <c:axPos val="b"/>
        <c:numFmt formatCode="General" sourceLinked="0"/>
        <c:majorTickMark val="none"/>
        <c:minorTickMark val="none"/>
        <c:tickLblPos val="nextTo"/>
        <c:crossAx val="413947752"/>
        <c:crosses val="autoZero"/>
        <c:auto val="1"/>
        <c:lblAlgn val="ctr"/>
        <c:lblOffset val="100"/>
        <c:noMultiLvlLbl val="0"/>
      </c:catAx>
      <c:valAx>
        <c:axId val="413947752"/>
        <c:scaling>
          <c:orientation val="minMax"/>
        </c:scaling>
        <c:delete val="0"/>
        <c:axPos val="l"/>
        <c:numFmt formatCode="0.00%" sourceLinked="1"/>
        <c:majorTickMark val="none"/>
        <c:minorTickMark val="none"/>
        <c:tickLblPos val="nextTo"/>
        <c:crossAx val="413947360"/>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GAESPO!$D$27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GAESPO!$C$28:$C$35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GAESPO!$D$28:$D$35</c:f>
              <c:numCache>
                <c:formatCode>0.0%</c:formatCode>
                <c:ptCount val="8"/>
                <c:pt idx="0">
                  <c:v>0.2</c:v>
                </c:pt>
                <c:pt idx="1">
                  <c:v>0.4</c:v>
                </c:pt>
                <c:pt idx="2">
                  <c:v>0.1</c:v>
                </c:pt>
                <c:pt idx="3">
                  <c:v>0.05</c:v>
                </c:pt>
                <c:pt idx="4">
                  <c:v>0.05</c:v>
                </c:pt>
                <c:pt idx="5">
                  <c:v>0.05</c:v>
                </c:pt>
                <c:pt idx="6">
                  <c:v>7.0000000000000007E-2</c:v>
                </c:pt>
                <c:pt idx="7">
                  <c:v>0.08</c:v>
                </c:pt>
              </c:numCache>
            </c:numRef>
          </c:val>
        </c:ser>
        <c:ser>
          <c:idx val="1"/>
          <c:order val="1"/>
          <c:tx>
            <c:strRef>
              <c:f>GAESPO!$E$27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GAESPO!$C$28:$C$35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GAESPO!$E$28:$E$35</c:f>
              <c:numCache>
                <c:formatCode>0.0%</c:formatCode>
                <c:ptCount val="8"/>
                <c:pt idx="0">
                  <c:v>7.3666666666666672E-2</c:v>
                </c:pt>
                <c:pt idx="1">
                  <c:v>0.35357142857142859</c:v>
                </c:pt>
                <c:pt idx="2">
                  <c:v>0</c:v>
                </c:pt>
                <c:pt idx="3">
                  <c:v>0</c:v>
                </c:pt>
                <c:pt idx="4">
                  <c:v>0</c:v>
                </c:pt>
                <c:pt idx="5">
                  <c:v>0</c:v>
                </c:pt>
                <c:pt idx="6">
                  <c:v>1.4000000000000002E-2</c:v>
                </c:pt>
                <c:pt idx="7">
                  <c:v>1.6250000000000001E-2</c:v>
                </c:pt>
              </c:numCache>
            </c:numRef>
          </c:val>
        </c:ser>
        <c:dLbls>
          <c:showLegendKey val="0"/>
          <c:showVal val="1"/>
          <c:showCatName val="0"/>
          <c:showSerName val="0"/>
          <c:showPercent val="0"/>
          <c:showBubbleSize val="0"/>
        </c:dLbls>
        <c:gapWidth val="75"/>
        <c:axId val="572579504"/>
        <c:axId val="572582248"/>
      </c:barChart>
      <c:catAx>
        <c:axId val="572579504"/>
        <c:scaling>
          <c:orientation val="minMax"/>
        </c:scaling>
        <c:delete val="0"/>
        <c:axPos val="b"/>
        <c:numFmt formatCode="General" sourceLinked="0"/>
        <c:majorTickMark val="none"/>
        <c:minorTickMark val="none"/>
        <c:tickLblPos val="nextTo"/>
        <c:crossAx val="572582248"/>
        <c:crosses val="autoZero"/>
        <c:auto val="1"/>
        <c:lblAlgn val="ctr"/>
        <c:lblOffset val="100"/>
        <c:noMultiLvlLbl val="0"/>
      </c:catAx>
      <c:valAx>
        <c:axId val="572582248"/>
        <c:scaling>
          <c:orientation val="minMax"/>
        </c:scaling>
        <c:delete val="0"/>
        <c:axPos val="l"/>
        <c:numFmt formatCode="0.0%" sourceLinked="1"/>
        <c:majorTickMark val="none"/>
        <c:minorTickMark val="none"/>
        <c:tickLblPos val="nextTo"/>
        <c:crossAx val="5725795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GAESPO!$D$39</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GAESPO!$C$40:$C$47</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GAESPO!$D$40:$D$47</c:f>
              <c:numCache>
                <c:formatCode>0.00%</c:formatCode>
                <c:ptCount val="8"/>
                <c:pt idx="0">
                  <c:v>1.3333333333333334E-2</c:v>
                </c:pt>
                <c:pt idx="1">
                  <c:v>0.12857142857142856</c:v>
                </c:pt>
                <c:pt idx="2">
                  <c:v>0</c:v>
                </c:pt>
                <c:pt idx="3">
                  <c:v>0</c:v>
                </c:pt>
                <c:pt idx="4">
                  <c:v>2.5000000000000001E-2</c:v>
                </c:pt>
                <c:pt idx="5">
                  <c:v>0</c:v>
                </c:pt>
                <c:pt idx="6">
                  <c:v>1.4000000000000002E-2</c:v>
                </c:pt>
                <c:pt idx="7">
                  <c:v>1.6250000000000001E-2</c:v>
                </c:pt>
              </c:numCache>
            </c:numRef>
          </c:val>
        </c:ser>
        <c:ser>
          <c:idx val="1"/>
          <c:order val="1"/>
          <c:tx>
            <c:strRef>
              <c:f>GAESPO!$E$39</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GAESPO!$C$40:$C$47</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GAESPO!$E$40:$E$47</c:f>
              <c:numCache>
                <c:formatCode>0.00%</c:formatCode>
                <c:ptCount val="8"/>
                <c:pt idx="0">
                  <c:v>7.3666666666666672E-2</c:v>
                </c:pt>
                <c:pt idx="1">
                  <c:v>0.35357142857142859</c:v>
                </c:pt>
                <c:pt idx="2">
                  <c:v>0</c:v>
                </c:pt>
                <c:pt idx="3">
                  <c:v>0</c:v>
                </c:pt>
                <c:pt idx="4">
                  <c:v>0</c:v>
                </c:pt>
                <c:pt idx="5">
                  <c:v>0</c:v>
                </c:pt>
                <c:pt idx="6">
                  <c:v>1.4000000000000002E-2</c:v>
                </c:pt>
                <c:pt idx="7">
                  <c:v>1.6250000000000001E-2</c:v>
                </c:pt>
              </c:numCache>
            </c:numRef>
          </c:val>
        </c:ser>
        <c:dLbls>
          <c:showLegendKey val="0"/>
          <c:showVal val="1"/>
          <c:showCatName val="0"/>
          <c:showSerName val="0"/>
          <c:showPercent val="0"/>
          <c:showBubbleSize val="0"/>
        </c:dLbls>
        <c:gapWidth val="75"/>
        <c:axId val="572583424"/>
        <c:axId val="572577936"/>
      </c:barChart>
      <c:catAx>
        <c:axId val="572583424"/>
        <c:scaling>
          <c:orientation val="minMax"/>
        </c:scaling>
        <c:delete val="0"/>
        <c:axPos val="b"/>
        <c:numFmt formatCode="General" sourceLinked="0"/>
        <c:majorTickMark val="none"/>
        <c:minorTickMark val="none"/>
        <c:tickLblPos val="nextTo"/>
        <c:crossAx val="572577936"/>
        <c:crosses val="autoZero"/>
        <c:auto val="1"/>
        <c:lblAlgn val="ctr"/>
        <c:lblOffset val="100"/>
        <c:noMultiLvlLbl val="0"/>
      </c:catAx>
      <c:valAx>
        <c:axId val="572577936"/>
        <c:scaling>
          <c:orientation val="minMax"/>
        </c:scaling>
        <c:delete val="0"/>
        <c:axPos val="l"/>
        <c:numFmt formatCode="0.00%" sourceLinked="1"/>
        <c:majorTickMark val="none"/>
        <c:minorTickMark val="none"/>
        <c:tickLblPos val="nextTo"/>
        <c:crossAx val="5725834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chemeClr val="accent2">
                  <a:lumMod val="7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GAESPO!$D$39:$E$39</c:f>
              <c:strCache>
                <c:ptCount val="2"/>
                <c:pt idx="0">
                  <c:v>% AVANCE ESPERADO X ACTIVIDAD</c:v>
                </c:pt>
                <c:pt idx="1">
                  <c:v>% AVANCE EJECUTADO X ACTIVIDAD</c:v>
                </c:pt>
              </c:strCache>
            </c:strRef>
          </c:cat>
          <c:val>
            <c:numRef>
              <c:f>GAESPO!$D$48:$E$48</c:f>
              <c:numCache>
                <c:formatCode>0.00%</c:formatCode>
                <c:ptCount val="2"/>
                <c:pt idx="0">
                  <c:v>0.19715476190476189</c:v>
                </c:pt>
                <c:pt idx="1">
                  <c:v>0.45748809523809525</c:v>
                </c:pt>
              </c:numCache>
            </c:numRef>
          </c:val>
        </c:ser>
        <c:dLbls>
          <c:showLegendKey val="0"/>
          <c:showVal val="1"/>
          <c:showCatName val="0"/>
          <c:showSerName val="0"/>
          <c:showPercent val="0"/>
          <c:showBubbleSize val="0"/>
        </c:dLbls>
        <c:gapWidth val="75"/>
        <c:axId val="572580680"/>
        <c:axId val="572581856"/>
      </c:barChart>
      <c:catAx>
        <c:axId val="572580680"/>
        <c:scaling>
          <c:orientation val="minMax"/>
        </c:scaling>
        <c:delete val="0"/>
        <c:axPos val="b"/>
        <c:numFmt formatCode="General" sourceLinked="0"/>
        <c:majorTickMark val="none"/>
        <c:minorTickMark val="none"/>
        <c:tickLblPos val="nextTo"/>
        <c:crossAx val="572581856"/>
        <c:crosses val="autoZero"/>
        <c:auto val="1"/>
        <c:lblAlgn val="ctr"/>
        <c:lblOffset val="100"/>
        <c:noMultiLvlLbl val="0"/>
      </c:catAx>
      <c:valAx>
        <c:axId val="572581856"/>
        <c:scaling>
          <c:orientation val="minMax"/>
        </c:scaling>
        <c:delete val="0"/>
        <c:axPos val="l"/>
        <c:numFmt formatCode="0.00%" sourceLinked="1"/>
        <c:majorTickMark val="none"/>
        <c:minorTickMark val="none"/>
        <c:tickLblPos val="nextTo"/>
        <c:crossAx val="5725806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GDS!$D$22</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GDS!$C$23:$C$26</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GDS!$D$23:$D$26</c:f>
              <c:numCache>
                <c:formatCode>0.0%</c:formatCode>
                <c:ptCount val="4"/>
                <c:pt idx="0">
                  <c:v>0.35</c:v>
                </c:pt>
                <c:pt idx="1">
                  <c:v>0.3</c:v>
                </c:pt>
                <c:pt idx="2">
                  <c:v>0.2</c:v>
                </c:pt>
                <c:pt idx="3">
                  <c:v>0.15</c:v>
                </c:pt>
              </c:numCache>
            </c:numRef>
          </c:val>
        </c:ser>
        <c:ser>
          <c:idx val="1"/>
          <c:order val="1"/>
          <c:tx>
            <c:strRef>
              <c:f>GDS!$E$22</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GDS!$C$23:$C$26</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GDS!$E$23:$E$26</c:f>
              <c:numCache>
                <c:formatCode>0.0%</c:formatCode>
                <c:ptCount val="4"/>
                <c:pt idx="0">
                  <c:v>7.0449999999999999E-2</c:v>
                </c:pt>
                <c:pt idx="1">
                  <c:v>0.06</c:v>
                </c:pt>
                <c:pt idx="2">
                  <c:v>8.3333333333333343E-2</c:v>
                </c:pt>
                <c:pt idx="3">
                  <c:v>7.4999999999999989E-3</c:v>
                </c:pt>
              </c:numCache>
            </c:numRef>
          </c:val>
        </c:ser>
        <c:dLbls>
          <c:showLegendKey val="0"/>
          <c:showVal val="1"/>
          <c:showCatName val="0"/>
          <c:showSerName val="0"/>
          <c:showPercent val="0"/>
          <c:showBubbleSize val="0"/>
        </c:dLbls>
        <c:gapWidth val="75"/>
        <c:axId val="572828848"/>
        <c:axId val="572829240"/>
      </c:barChart>
      <c:catAx>
        <c:axId val="572828848"/>
        <c:scaling>
          <c:orientation val="minMax"/>
        </c:scaling>
        <c:delete val="0"/>
        <c:axPos val="b"/>
        <c:numFmt formatCode="General" sourceLinked="0"/>
        <c:majorTickMark val="none"/>
        <c:minorTickMark val="none"/>
        <c:tickLblPos val="nextTo"/>
        <c:crossAx val="572829240"/>
        <c:crosses val="autoZero"/>
        <c:auto val="1"/>
        <c:lblAlgn val="ctr"/>
        <c:lblOffset val="100"/>
        <c:noMultiLvlLbl val="0"/>
      </c:catAx>
      <c:valAx>
        <c:axId val="572829240"/>
        <c:scaling>
          <c:orientation val="minMax"/>
        </c:scaling>
        <c:delete val="0"/>
        <c:axPos val="l"/>
        <c:numFmt formatCode="0.0%" sourceLinked="1"/>
        <c:majorTickMark val="none"/>
        <c:minorTickMark val="none"/>
        <c:tickLblPos val="nextTo"/>
        <c:crossAx val="57282884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GDS!$C$39:$C$42</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GDS!$D$39:$D$42</c:f>
              <c:numCache>
                <c:formatCode>0.0%</c:formatCode>
                <c:ptCount val="4"/>
                <c:pt idx="0">
                  <c:v>3.8500000000000006E-2</c:v>
                </c:pt>
                <c:pt idx="1">
                  <c:v>0.06</c:v>
                </c:pt>
                <c:pt idx="2">
                  <c:v>6.6666666666666666E-2</c:v>
                </c:pt>
                <c:pt idx="3">
                  <c:v>7.4999999999999989E-3</c:v>
                </c:pt>
              </c:numCache>
            </c:numRef>
          </c:val>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GDS!$C$39:$C$42</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GDS!$E$39:$E$42</c:f>
              <c:numCache>
                <c:formatCode>0.0%</c:formatCode>
                <c:ptCount val="4"/>
                <c:pt idx="0">
                  <c:v>7.0449999999999999E-2</c:v>
                </c:pt>
                <c:pt idx="1">
                  <c:v>0.06</c:v>
                </c:pt>
                <c:pt idx="2">
                  <c:v>8.3333333333333343E-2</c:v>
                </c:pt>
                <c:pt idx="3">
                  <c:v>7.4999999999999989E-3</c:v>
                </c:pt>
              </c:numCache>
            </c:numRef>
          </c:val>
        </c:ser>
        <c:dLbls>
          <c:showLegendKey val="0"/>
          <c:showVal val="1"/>
          <c:showCatName val="0"/>
          <c:showSerName val="0"/>
          <c:showPercent val="0"/>
          <c:showBubbleSize val="0"/>
        </c:dLbls>
        <c:gapWidth val="75"/>
        <c:axId val="572828064"/>
        <c:axId val="572831592"/>
      </c:barChart>
      <c:catAx>
        <c:axId val="572828064"/>
        <c:scaling>
          <c:orientation val="minMax"/>
        </c:scaling>
        <c:delete val="0"/>
        <c:axPos val="b"/>
        <c:numFmt formatCode="General" sourceLinked="0"/>
        <c:majorTickMark val="none"/>
        <c:minorTickMark val="none"/>
        <c:tickLblPos val="nextTo"/>
        <c:crossAx val="572831592"/>
        <c:crosses val="autoZero"/>
        <c:auto val="1"/>
        <c:lblAlgn val="ctr"/>
        <c:lblOffset val="100"/>
        <c:noMultiLvlLbl val="0"/>
      </c:catAx>
      <c:valAx>
        <c:axId val="572831592"/>
        <c:scaling>
          <c:orientation val="minMax"/>
        </c:scaling>
        <c:delete val="0"/>
        <c:axPos val="l"/>
        <c:numFmt formatCode="0.0%" sourceLinked="1"/>
        <c:majorTickMark val="none"/>
        <c:minorTickMark val="none"/>
        <c:tickLblPos val="nextTo"/>
        <c:crossAx val="572828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chemeClr val="accent2">
                  <a:lumMod val="7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GDS!$D$38:$E$38</c:f>
              <c:strCache>
                <c:ptCount val="2"/>
                <c:pt idx="0">
                  <c:v>% AVANCE ESPERADO X ACTIVIDAD</c:v>
                </c:pt>
                <c:pt idx="1">
                  <c:v>% AVANCE EJECUTADO X ACTIVIDAD</c:v>
                </c:pt>
              </c:strCache>
            </c:strRef>
          </c:cat>
          <c:val>
            <c:numRef>
              <c:f>GDS!$D$43:$E$43</c:f>
              <c:numCache>
                <c:formatCode>0.0%</c:formatCode>
                <c:ptCount val="2"/>
                <c:pt idx="0">
                  <c:v>0.17266666666666669</c:v>
                </c:pt>
                <c:pt idx="1">
                  <c:v>0.22128333333333336</c:v>
                </c:pt>
              </c:numCache>
            </c:numRef>
          </c:val>
        </c:ser>
        <c:dLbls>
          <c:showLegendKey val="0"/>
          <c:showVal val="1"/>
          <c:showCatName val="0"/>
          <c:showSerName val="0"/>
          <c:showPercent val="0"/>
          <c:showBubbleSize val="0"/>
        </c:dLbls>
        <c:gapWidth val="75"/>
        <c:axId val="572828456"/>
        <c:axId val="572831984"/>
      </c:barChart>
      <c:catAx>
        <c:axId val="572828456"/>
        <c:scaling>
          <c:orientation val="minMax"/>
        </c:scaling>
        <c:delete val="0"/>
        <c:axPos val="b"/>
        <c:numFmt formatCode="General" sourceLinked="0"/>
        <c:majorTickMark val="none"/>
        <c:minorTickMark val="none"/>
        <c:tickLblPos val="nextTo"/>
        <c:crossAx val="572831984"/>
        <c:crosses val="autoZero"/>
        <c:auto val="1"/>
        <c:lblAlgn val="ctr"/>
        <c:lblOffset val="100"/>
        <c:noMultiLvlLbl val="0"/>
      </c:catAx>
      <c:valAx>
        <c:axId val="572831984"/>
        <c:scaling>
          <c:orientation val="minMax"/>
        </c:scaling>
        <c:delete val="0"/>
        <c:axPos val="l"/>
        <c:numFmt formatCode="0.0%" sourceLinked="1"/>
        <c:majorTickMark val="none"/>
        <c:minorTickMark val="none"/>
        <c:tickLblPos val="nextTo"/>
        <c:crossAx val="572828456"/>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OCI!$D$23</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OCI!$C$24:$C$28</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OCI!$D$24:$D$28</c:f>
              <c:numCache>
                <c:formatCode>0%</c:formatCode>
                <c:ptCount val="5"/>
                <c:pt idx="0">
                  <c:v>0.2</c:v>
                </c:pt>
                <c:pt idx="1">
                  <c:v>0.2</c:v>
                </c:pt>
                <c:pt idx="2">
                  <c:v>0.2</c:v>
                </c:pt>
                <c:pt idx="3">
                  <c:v>0.3</c:v>
                </c:pt>
                <c:pt idx="4">
                  <c:v>0.1</c:v>
                </c:pt>
              </c:numCache>
            </c:numRef>
          </c:val>
        </c:ser>
        <c:ser>
          <c:idx val="1"/>
          <c:order val="1"/>
          <c:tx>
            <c:strRef>
              <c:f>OCI!$E$23</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OCI!$C$24:$C$28</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OCI!$E$24:$E$28</c:f>
              <c:numCache>
                <c:formatCode>0.0%</c:formatCode>
                <c:ptCount val="5"/>
                <c:pt idx="0">
                  <c:v>2.7272727272727271E-2</c:v>
                </c:pt>
                <c:pt idx="1">
                  <c:v>0.13750000000000001</c:v>
                </c:pt>
                <c:pt idx="2">
                  <c:v>0</c:v>
                </c:pt>
                <c:pt idx="3">
                  <c:v>3.7485014994005993E-2</c:v>
                </c:pt>
                <c:pt idx="4">
                  <c:v>3.7495004998001999E-2</c:v>
                </c:pt>
              </c:numCache>
            </c:numRef>
          </c:val>
        </c:ser>
        <c:dLbls>
          <c:showLegendKey val="0"/>
          <c:showVal val="1"/>
          <c:showCatName val="0"/>
          <c:showSerName val="0"/>
          <c:showPercent val="0"/>
          <c:showBubbleSize val="0"/>
        </c:dLbls>
        <c:gapWidth val="75"/>
        <c:axId val="572826496"/>
        <c:axId val="572830416"/>
      </c:barChart>
      <c:catAx>
        <c:axId val="572826496"/>
        <c:scaling>
          <c:orientation val="minMax"/>
        </c:scaling>
        <c:delete val="0"/>
        <c:axPos val="b"/>
        <c:numFmt formatCode="General" sourceLinked="0"/>
        <c:majorTickMark val="none"/>
        <c:minorTickMark val="none"/>
        <c:tickLblPos val="nextTo"/>
        <c:crossAx val="572830416"/>
        <c:crosses val="autoZero"/>
        <c:auto val="1"/>
        <c:lblAlgn val="ctr"/>
        <c:lblOffset val="100"/>
        <c:noMultiLvlLbl val="0"/>
      </c:catAx>
      <c:valAx>
        <c:axId val="572830416"/>
        <c:scaling>
          <c:orientation val="minMax"/>
        </c:scaling>
        <c:delete val="0"/>
        <c:axPos val="l"/>
        <c:numFmt formatCode="0%" sourceLinked="1"/>
        <c:majorTickMark val="none"/>
        <c:minorTickMark val="none"/>
        <c:tickLblPos val="nextTo"/>
        <c:crossAx val="57282649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OCI!$D$37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OCI!$C$38:$C$42</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OCI!$D$38:$D$42</c:f>
              <c:numCache>
                <c:formatCode>0%</c:formatCode>
                <c:ptCount val="5"/>
                <c:pt idx="0">
                  <c:v>2.8181818181818186E-2</c:v>
                </c:pt>
                <c:pt idx="1">
                  <c:v>0.05</c:v>
                </c:pt>
                <c:pt idx="2">
                  <c:v>5.8333333333333334E-2</c:v>
                </c:pt>
                <c:pt idx="3">
                  <c:v>5.2499999999999991E-2</c:v>
                </c:pt>
                <c:pt idx="4">
                  <c:v>3.7499999999999999E-2</c:v>
                </c:pt>
              </c:numCache>
            </c:numRef>
          </c:val>
        </c:ser>
        <c:ser>
          <c:idx val="1"/>
          <c:order val="1"/>
          <c:tx>
            <c:strRef>
              <c:f>OCI!$E$37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OCI!$C$38:$C$42</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OCI!$E$38:$E$42</c:f>
              <c:numCache>
                <c:formatCode>0%</c:formatCode>
                <c:ptCount val="5"/>
                <c:pt idx="0">
                  <c:v>2.7272727272727271E-2</c:v>
                </c:pt>
                <c:pt idx="1">
                  <c:v>0.13750000000000001</c:v>
                </c:pt>
                <c:pt idx="2">
                  <c:v>0</c:v>
                </c:pt>
                <c:pt idx="3">
                  <c:v>3.7485014994005993E-2</c:v>
                </c:pt>
                <c:pt idx="4">
                  <c:v>3.7495004998001999E-2</c:v>
                </c:pt>
              </c:numCache>
            </c:numRef>
          </c:val>
        </c:ser>
        <c:dLbls>
          <c:showLegendKey val="0"/>
          <c:showVal val="1"/>
          <c:showCatName val="0"/>
          <c:showSerName val="0"/>
          <c:showPercent val="0"/>
          <c:showBubbleSize val="0"/>
        </c:dLbls>
        <c:gapWidth val="75"/>
        <c:axId val="572832376"/>
        <c:axId val="572580288"/>
      </c:barChart>
      <c:catAx>
        <c:axId val="572832376"/>
        <c:scaling>
          <c:orientation val="minMax"/>
        </c:scaling>
        <c:delete val="0"/>
        <c:axPos val="b"/>
        <c:numFmt formatCode="General" sourceLinked="0"/>
        <c:majorTickMark val="none"/>
        <c:minorTickMark val="none"/>
        <c:tickLblPos val="nextTo"/>
        <c:crossAx val="572580288"/>
        <c:crosses val="autoZero"/>
        <c:auto val="1"/>
        <c:lblAlgn val="ctr"/>
        <c:lblOffset val="100"/>
        <c:noMultiLvlLbl val="0"/>
      </c:catAx>
      <c:valAx>
        <c:axId val="572580288"/>
        <c:scaling>
          <c:orientation val="minMax"/>
        </c:scaling>
        <c:delete val="0"/>
        <c:axPos val="l"/>
        <c:numFmt formatCode="0%" sourceLinked="1"/>
        <c:majorTickMark val="none"/>
        <c:minorTickMark val="none"/>
        <c:tickLblPos val="nextTo"/>
        <c:crossAx val="5728323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OCI!$D$37:$E$37</c:f>
              <c:strCache>
                <c:ptCount val="2"/>
                <c:pt idx="0">
                  <c:v>% AVANCE ESPERADO X ACTIVIDAD</c:v>
                </c:pt>
                <c:pt idx="1">
                  <c:v>% AVANCE EJECUTADO X ACTIVIDAD</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OCI!$D$37:$E$37</c:f>
              <c:strCache>
                <c:ptCount val="2"/>
                <c:pt idx="0">
                  <c:v>% AVANCE ESPERADO X ACTIVIDAD</c:v>
                </c:pt>
                <c:pt idx="1">
                  <c:v>% AVANCE EJECUTADO X ACTIVIDAD</c:v>
                </c:pt>
              </c:strCache>
            </c:strRef>
          </c:cat>
          <c:val>
            <c:numRef>
              <c:f>OCI!$D$43:$E$43</c:f>
              <c:numCache>
                <c:formatCode>0.0%</c:formatCode>
                <c:ptCount val="2"/>
                <c:pt idx="0">
                  <c:v>0.22651515151515153</c:v>
                </c:pt>
                <c:pt idx="1">
                  <c:v>0.23975274726473528</c:v>
                </c:pt>
              </c:numCache>
            </c:numRef>
          </c:val>
        </c:ser>
        <c:dLbls>
          <c:showLegendKey val="0"/>
          <c:showVal val="1"/>
          <c:showCatName val="0"/>
          <c:showSerName val="0"/>
          <c:showPercent val="0"/>
          <c:showBubbleSize val="0"/>
        </c:dLbls>
        <c:gapWidth val="75"/>
        <c:axId val="572583032"/>
        <c:axId val="572577152"/>
      </c:barChart>
      <c:catAx>
        <c:axId val="572583032"/>
        <c:scaling>
          <c:orientation val="minMax"/>
        </c:scaling>
        <c:delete val="0"/>
        <c:axPos val="b"/>
        <c:numFmt formatCode="General" sourceLinked="0"/>
        <c:majorTickMark val="none"/>
        <c:minorTickMark val="none"/>
        <c:tickLblPos val="nextTo"/>
        <c:crossAx val="572577152"/>
        <c:crosses val="autoZero"/>
        <c:auto val="1"/>
        <c:lblAlgn val="ctr"/>
        <c:lblOffset val="100"/>
        <c:noMultiLvlLbl val="0"/>
      </c:catAx>
      <c:valAx>
        <c:axId val="572577152"/>
        <c:scaling>
          <c:orientation val="minMax"/>
        </c:scaling>
        <c:delete val="0"/>
        <c:axPos val="l"/>
        <c:numFmt formatCode="0.0%" sourceLinked="1"/>
        <c:majorTickMark val="none"/>
        <c:minorTickMark val="none"/>
        <c:tickLblPos val="nextTo"/>
        <c:crossAx val="57258303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OAJ!$D$21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OAJ!$C$22:$C$28</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OAJ!$D$22:$D$28</c:f>
              <c:numCache>
                <c:formatCode>0%</c:formatCode>
                <c:ptCount val="7"/>
                <c:pt idx="0">
                  <c:v>0.1</c:v>
                </c:pt>
                <c:pt idx="1">
                  <c:v>0.1</c:v>
                </c:pt>
                <c:pt idx="2">
                  <c:v>0.1</c:v>
                </c:pt>
                <c:pt idx="3">
                  <c:v>0.25</c:v>
                </c:pt>
                <c:pt idx="4">
                  <c:v>0.1</c:v>
                </c:pt>
                <c:pt idx="5">
                  <c:v>0.3</c:v>
                </c:pt>
                <c:pt idx="6">
                  <c:v>0.05</c:v>
                </c:pt>
              </c:numCache>
            </c:numRef>
          </c:val>
        </c:ser>
        <c:ser>
          <c:idx val="1"/>
          <c:order val="1"/>
          <c:tx>
            <c:strRef>
              <c:f>OAJ!$E$21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OAJ!$C$22:$C$28</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OAJ!$E$22:$E$28</c:f>
              <c:numCache>
                <c:formatCode>0.0%</c:formatCode>
                <c:ptCount val="7"/>
                <c:pt idx="0">
                  <c:v>2.5000000000000001E-2</c:v>
                </c:pt>
                <c:pt idx="1">
                  <c:v>2.4990000000000002E-2</c:v>
                </c:pt>
                <c:pt idx="2">
                  <c:v>2.4990000000000002E-2</c:v>
                </c:pt>
                <c:pt idx="3">
                  <c:v>6.2490000000000004E-2</c:v>
                </c:pt>
                <c:pt idx="4">
                  <c:v>0.05</c:v>
                </c:pt>
                <c:pt idx="5">
                  <c:v>0.14393272727272727</c:v>
                </c:pt>
                <c:pt idx="6">
                  <c:v>1.2495000000000001E-2</c:v>
                </c:pt>
              </c:numCache>
            </c:numRef>
          </c:val>
        </c:ser>
        <c:dLbls>
          <c:showLegendKey val="0"/>
          <c:showVal val="1"/>
          <c:showCatName val="0"/>
          <c:showSerName val="0"/>
          <c:showPercent val="0"/>
          <c:showBubbleSize val="0"/>
        </c:dLbls>
        <c:gapWidth val="75"/>
        <c:axId val="572522768"/>
        <c:axId val="572521592"/>
      </c:barChart>
      <c:catAx>
        <c:axId val="572522768"/>
        <c:scaling>
          <c:orientation val="minMax"/>
        </c:scaling>
        <c:delete val="0"/>
        <c:axPos val="b"/>
        <c:numFmt formatCode="General" sourceLinked="0"/>
        <c:majorTickMark val="none"/>
        <c:minorTickMark val="none"/>
        <c:tickLblPos val="nextTo"/>
        <c:crossAx val="572521592"/>
        <c:crosses val="autoZero"/>
        <c:auto val="1"/>
        <c:lblAlgn val="ctr"/>
        <c:lblOffset val="100"/>
        <c:noMultiLvlLbl val="0"/>
      </c:catAx>
      <c:valAx>
        <c:axId val="572521592"/>
        <c:scaling>
          <c:orientation val="minMax"/>
        </c:scaling>
        <c:delete val="0"/>
        <c:axPos val="l"/>
        <c:numFmt formatCode="0%" sourceLinked="1"/>
        <c:majorTickMark val="none"/>
        <c:minorTickMark val="none"/>
        <c:tickLblPos val="nextTo"/>
        <c:crossAx val="5725227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OAJ!$C$39:$C$45</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OAJ!$D$39:$D$45</c:f>
              <c:numCache>
                <c:formatCode>0.00%</c:formatCode>
                <c:ptCount val="7"/>
                <c:pt idx="0">
                  <c:v>2.5000000000000001E-2</c:v>
                </c:pt>
                <c:pt idx="1">
                  <c:v>2.4990000000000002E-2</c:v>
                </c:pt>
                <c:pt idx="2">
                  <c:v>2.4990000000000002E-2</c:v>
                </c:pt>
                <c:pt idx="3">
                  <c:v>6.2490000000000004E-2</c:v>
                </c:pt>
                <c:pt idx="4">
                  <c:v>2.5000000000000001E-2</c:v>
                </c:pt>
                <c:pt idx="5">
                  <c:v>9.3171818181818189E-2</c:v>
                </c:pt>
                <c:pt idx="6">
                  <c:v>1.2495000000000001E-2</c:v>
                </c:pt>
              </c:numCache>
            </c:numRef>
          </c:val>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OAJ!$C$39:$C$45</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OAJ!$E$39:$E$45</c:f>
              <c:numCache>
                <c:formatCode>0.0%</c:formatCode>
                <c:ptCount val="7"/>
                <c:pt idx="0">
                  <c:v>2.5000000000000001E-2</c:v>
                </c:pt>
                <c:pt idx="1">
                  <c:v>2.4990000000000002E-2</c:v>
                </c:pt>
                <c:pt idx="2">
                  <c:v>2.4990000000000002E-2</c:v>
                </c:pt>
                <c:pt idx="3">
                  <c:v>6.2490000000000004E-2</c:v>
                </c:pt>
                <c:pt idx="4">
                  <c:v>0.05</c:v>
                </c:pt>
                <c:pt idx="5">
                  <c:v>0.14393272727272727</c:v>
                </c:pt>
                <c:pt idx="6">
                  <c:v>1.2495000000000001E-2</c:v>
                </c:pt>
              </c:numCache>
            </c:numRef>
          </c:val>
        </c:ser>
        <c:dLbls>
          <c:showLegendKey val="0"/>
          <c:showVal val="1"/>
          <c:showCatName val="0"/>
          <c:showSerName val="0"/>
          <c:showPercent val="0"/>
          <c:showBubbleSize val="0"/>
        </c:dLbls>
        <c:gapWidth val="75"/>
        <c:axId val="572519240"/>
        <c:axId val="572523944"/>
      </c:barChart>
      <c:catAx>
        <c:axId val="572519240"/>
        <c:scaling>
          <c:orientation val="minMax"/>
        </c:scaling>
        <c:delete val="0"/>
        <c:axPos val="b"/>
        <c:numFmt formatCode="General" sourceLinked="0"/>
        <c:majorTickMark val="none"/>
        <c:minorTickMark val="none"/>
        <c:tickLblPos val="nextTo"/>
        <c:crossAx val="572523944"/>
        <c:crosses val="autoZero"/>
        <c:auto val="1"/>
        <c:lblAlgn val="ctr"/>
        <c:lblOffset val="100"/>
        <c:noMultiLvlLbl val="0"/>
      </c:catAx>
      <c:valAx>
        <c:axId val="572523944"/>
        <c:scaling>
          <c:orientation val="minMax"/>
        </c:scaling>
        <c:delete val="0"/>
        <c:axPos val="l"/>
        <c:numFmt formatCode="0.00%" sourceLinked="1"/>
        <c:majorTickMark val="none"/>
        <c:minorTickMark val="none"/>
        <c:tickLblPos val="nextTo"/>
        <c:crossAx val="5725192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OAJ!$C$46</c:f>
              <c:strCache>
                <c:ptCount val="1"/>
                <c:pt idx="0">
                  <c:v>TOTAL</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OAJ!$D$38:$E$38</c:f>
              <c:strCache>
                <c:ptCount val="2"/>
                <c:pt idx="0">
                  <c:v>% AVANCE ESPERADO X ACTIVIDAD</c:v>
                </c:pt>
                <c:pt idx="1">
                  <c:v>% AVANCE EJECUTADO X ACTIVIDAD</c:v>
                </c:pt>
              </c:strCache>
            </c:strRef>
          </c:cat>
          <c:val>
            <c:numRef>
              <c:f>OAJ!$D$46:$E$46</c:f>
              <c:numCache>
                <c:formatCode>0.00%</c:formatCode>
                <c:ptCount val="2"/>
                <c:pt idx="0">
                  <c:v>0.26813681818181817</c:v>
                </c:pt>
                <c:pt idx="1">
                  <c:v>0.34389772727272727</c:v>
                </c:pt>
              </c:numCache>
            </c:numRef>
          </c:val>
        </c:ser>
        <c:dLbls>
          <c:showLegendKey val="0"/>
          <c:showVal val="1"/>
          <c:showCatName val="0"/>
          <c:showSerName val="0"/>
          <c:showPercent val="0"/>
          <c:showBubbleSize val="0"/>
        </c:dLbls>
        <c:gapWidth val="75"/>
        <c:axId val="572524336"/>
        <c:axId val="572519632"/>
      </c:barChart>
      <c:catAx>
        <c:axId val="572524336"/>
        <c:scaling>
          <c:orientation val="minMax"/>
        </c:scaling>
        <c:delete val="0"/>
        <c:axPos val="b"/>
        <c:numFmt formatCode="General" sourceLinked="0"/>
        <c:majorTickMark val="none"/>
        <c:minorTickMark val="none"/>
        <c:tickLblPos val="nextTo"/>
        <c:crossAx val="572519632"/>
        <c:crosses val="autoZero"/>
        <c:auto val="1"/>
        <c:lblAlgn val="ctr"/>
        <c:lblOffset val="100"/>
        <c:noMultiLvlLbl val="0"/>
      </c:catAx>
      <c:valAx>
        <c:axId val="572519632"/>
        <c:scaling>
          <c:orientation val="minMax"/>
        </c:scaling>
        <c:delete val="0"/>
        <c:axPos val="l"/>
        <c:numFmt formatCode="0.00%" sourceLinked="1"/>
        <c:majorTickMark val="none"/>
        <c:minorTickMark val="none"/>
        <c:tickLblPos val="nextTo"/>
        <c:crossAx val="572524336"/>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GGH!$D$31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GGH!$C$32:$C$40</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GGH!$D$32:$D$40</c:f>
              <c:numCache>
                <c:formatCode>0%</c:formatCode>
                <c:ptCount val="9"/>
                <c:pt idx="0">
                  <c:v>0.05</c:v>
                </c:pt>
                <c:pt idx="1">
                  <c:v>0.05</c:v>
                </c:pt>
                <c:pt idx="2">
                  <c:v>0.1</c:v>
                </c:pt>
                <c:pt idx="3">
                  <c:v>0.15</c:v>
                </c:pt>
                <c:pt idx="4">
                  <c:v>0.15</c:v>
                </c:pt>
                <c:pt idx="5">
                  <c:v>0.15</c:v>
                </c:pt>
                <c:pt idx="6">
                  <c:v>0.12</c:v>
                </c:pt>
                <c:pt idx="7">
                  <c:v>0.18</c:v>
                </c:pt>
                <c:pt idx="8">
                  <c:v>0.05</c:v>
                </c:pt>
              </c:numCache>
            </c:numRef>
          </c:val>
        </c:ser>
        <c:ser>
          <c:idx val="1"/>
          <c:order val="1"/>
          <c:tx>
            <c:strRef>
              <c:f>GGH!$E$31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GGH!$C$32:$C$40</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GGH!$E$32:$E$40</c:f>
              <c:numCache>
                <c:formatCode>0.0%</c:formatCode>
                <c:ptCount val="9"/>
                <c:pt idx="0">
                  <c:v>1.2495000000000001E-2</c:v>
                </c:pt>
                <c:pt idx="1">
                  <c:v>6.2475000000000004E-3</c:v>
                </c:pt>
                <c:pt idx="2">
                  <c:v>7.0000000000000007E-2</c:v>
                </c:pt>
                <c:pt idx="3">
                  <c:v>7.7493000000000006E-2</c:v>
                </c:pt>
                <c:pt idx="4">
                  <c:v>7.0000000000000007E-2</c:v>
                </c:pt>
                <c:pt idx="5">
                  <c:v>7.4999999999999997E-2</c:v>
                </c:pt>
                <c:pt idx="6">
                  <c:v>5.3928571428571423E-2</c:v>
                </c:pt>
                <c:pt idx="7">
                  <c:v>0</c:v>
                </c:pt>
                <c:pt idx="8">
                  <c:v>1.2500000000000001E-2</c:v>
                </c:pt>
              </c:numCache>
            </c:numRef>
          </c:val>
        </c:ser>
        <c:dLbls>
          <c:showLegendKey val="0"/>
          <c:showVal val="1"/>
          <c:showCatName val="0"/>
          <c:showSerName val="0"/>
          <c:showPercent val="0"/>
          <c:showBubbleSize val="0"/>
        </c:dLbls>
        <c:gapWidth val="75"/>
        <c:axId val="572520024"/>
        <c:axId val="572523160"/>
      </c:barChart>
      <c:catAx>
        <c:axId val="572520024"/>
        <c:scaling>
          <c:orientation val="minMax"/>
        </c:scaling>
        <c:delete val="0"/>
        <c:axPos val="b"/>
        <c:numFmt formatCode="General" sourceLinked="0"/>
        <c:majorTickMark val="none"/>
        <c:minorTickMark val="none"/>
        <c:tickLblPos val="nextTo"/>
        <c:crossAx val="572523160"/>
        <c:crosses val="autoZero"/>
        <c:auto val="1"/>
        <c:lblAlgn val="ctr"/>
        <c:lblOffset val="100"/>
        <c:noMultiLvlLbl val="0"/>
      </c:catAx>
      <c:valAx>
        <c:axId val="572523160"/>
        <c:scaling>
          <c:orientation val="minMax"/>
        </c:scaling>
        <c:delete val="0"/>
        <c:axPos val="l"/>
        <c:numFmt formatCode="0%" sourceLinked="1"/>
        <c:majorTickMark val="none"/>
        <c:minorTickMark val="none"/>
        <c:tickLblPos val="nextTo"/>
        <c:crossAx val="5725200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GGH!$D$47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GGH!$C$48:$C$56</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GGH!$D$48:$D$56</c:f>
              <c:numCache>
                <c:formatCode>0.00%</c:formatCode>
                <c:ptCount val="9"/>
                <c:pt idx="0">
                  <c:v>1.2495000000000001E-2</c:v>
                </c:pt>
                <c:pt idx="1">
                  <c:v>6.2475000000000004E-3</c:v>
                </c:pt>
                <c:pt idx="2">
                  <c:v>7.0000000000000007E-2</c:v>
                </c:pt>
                <c:pt idx="3">
                  <c:v>7.7493000000000006E-2</c:v>
                </c:pt>
                <c:pt idx="4">
                  <c:v>7.0000000000000007E-2</c:v>
                </c:pt>
                <c:pt idx="5">
                  <c:v>7.4999999999999997E-2</c:v>
                </c:pt>
                <c:pt idx="6">
                  <c:v>5.3928571428571423E-2</c:v>
                </c:pt>
                <c:pt idx="7">
                  <c:v>0</c:v>
                </c:pt>
                <c:pt idx="8">
                  <c:v>1.2500000000000001E-2</c:v>
                </c:pt>
              </c:numCache>
            </c:numRef>
          </c:val>
        </c:ser>
        <c:ser>
          <c:idx val="1"/>
          <c:order val="1"/>
          <c:tx>
            <c:strRef>
              <c:f>GGH!$E$47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GGH!$C$48:$C$56</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GGH!$E$48:$E$56</c:f>
              <c:numCache>
                <c:formatCode>0.00%</c:formatCode>
                <c:ptCount val="9"/>
                <c:pt idx="0">
                  <c:v>1.2495000000000001E-2</c:v>
                </c:pt>
                <c:pt idx="1">
                  <c:v>6.2475000000000004E-3</c:v>
                </c:pt>
                <c:pt idx="2">
                  <c:v>7.0000000000000007E-2</c:v>
                </c:pt>
                <c:pt idx="3">
                  <c:v>7.7493000000000006E-2</c:v>
                </c:pt>
                <c:pt idx="4">
                  <c:v>7.0000000000000007E-2</c:v>
                </c:pt>
                <c:pt idx="5">
                  <c:v>7.4999999999999997E-2</c:v>
                </c:pt>
                <c:pt idx="6">
                  <c:v>5.3928571428571423E-2</c:v>
                </c:pt>
                <c:pt idx="7">
                  <c:v>0</c:v>
                </c:pt>
                <c:pt idx="8">
                  <c:v>1.2500000000000001E-2</c:v>
                </c:pt>
              </c:numCache>
            </c:numRef>
          </c:val>
        </c:ser>
        <c:dLbls>
          <c:showLegendKey val="0"/>
          <c:showVal val="1"/>
          <c:showCatName val="0"/>
          <c:showSerName val="0"/>
          <c:showPercent val="0"/>
          <c:showBubbleSize val="0"/>
        </c:dLbls>
        <c:gapWidth val="75"/>
        <c:axId val="572520416"/>
        <c:axId val="572521984"/>
      </c:barChart>
      <c:catAx>
        <c:axId val="572520416"/>
        <c:scaling>
          <c:orientation val="minMax"/>
        </c:scaling>
        <c:delete val="0"/>
        <c:axPos val="b"/>
        <c:numFmt formatCode="General" sourceLinked="0"/>
        <c:majorTickMark val="none"/>
        <c:minorTickMark val="none"/>
        <c:tickLblPos val="nextTo"/>
        <c:crossAx val="572521984"/>
        <c:crosses val="autoZero"/>
        <c:auto val="1"/>
        <c:lblAlgn val="ctr"/>
        <c:lblOffset val="100"/>
        <c:noMultiLvlLbl val="0"/>
      </c:catAx>
      <c:valAx>
        <c:axId val="572521984"/>
        <c:scaling>
          <c:orientation val="minMax"/>
        </c:scaling>
        <c:delete val="0"/>
        <c:axPos val="l"/>
        <c:numFmt formatCode="0.00%" sourceLinked="1"/>
        <c:majorTickMark val="none"/>
        <c:minorTickMark val="none"/>
        <c:tickLblPos val="nextTo"/>
        <c:crossAx val="5725204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3587051618549"/>
          <c:y val="4.1042876029429791E-2"/>
          <c:w val="0.85658092738407698"/>
          <c:h val="0.7957199539748987"/>
        </c:manualLayout>
      </c:layout>
      <c:barChart>
        <c:barDir val="col"/>
        <c:grouping val="clustered"/>
        <c:varyColors val="0"/>
        <c:ser>
          <c:idx val="0"/>
          <c:order val="0"/>
          <c:tx>
            <c:strRef>
              <c:f>GGH!$D$47:$E$47</c:f>
              <c:strCache>
                <c:ptCount val="2"/>
                <c:pt idx="0">
                  <c:v>% AVANCE ESPERADO X ACTIVIDAD</c:v>
                </c:pt>
                <c:pt idx="1">
                  <c:v>% AVANCE EJECUTADO X ACTIVIDAD</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GGH!$D$47:$E$47</c:f>
              <c:strCache>
                <c:ptCount val="2"/>
                <c:pt idx="0">
                  <c:v>% AVANCE ESPERADO X ACTIVIDAD</c:v>
                </c:pt>
                <c:pt idx="1">
                  <c:v>% AVANCE EJECUTADO X ACTIVIDAD</c:v>
                </c:pt>
              </c:strCache>
            </c:strRef>
          </c:cat>
          <c:val>
            <c:numRef>
              <c:f>GGH!$D$57:$E$57</c:f>
              <c:numCache>
                <c:formatCode>0.0%</c:formatCode>
                <c:ptCount val="2"/>
                <c:pt idx="0" formatCode="0.00%">
                  <c:v>0.37766407142857145</c:v>
                </c:pt>
                <c:pt idx="1">
                  <c:v>0.37766407142857145</c:v>
                </c:pt>
              </c:numCache>
            </c:numRef>
          </c:val>
        </c:ser>
        <c:dLbls>
          <c:showLegendKey val="0"/>
          <c:showVal val="1"/>
          <c:showCatName val="0"/>
          <c:showSerName val="0"/>
          <c:showPercent val="0"/>
          <c:showBubbleSize val="0"/>
        </c:dLbls>
        <c:gapWidth val="75"/>
        <c:axId val="572525120"/>
        <c:axId val="572525512"/>
      </c:barChart>
      <c:catAx>
        <c:axId val="572525120"/>
        <c:scaling>
          <c:orientation val="minMax"/>
        </c:scaling>
        <c:delete val="0"/>
        <c:axPos val="b"/>
        <c:numFmt formatCode="General" sourceLinked="0"/>
        <c:majorTickMark val="none"/>
        <c:minorTickMark val="none"/>
        <c:tickLblPos val="nextTo"/>
        <c:crossAx val="572525512"/>
        <c:crosses val="autoZero"/>
        <c:auto val="1"/>
        <c:lblAlgn val="ctr"/>
        <c:lblOffset val="100"/>
        <c:noMultiLvlLbl val="0"/>
      </c:catAx>
      <c:valAx>
        <c:axId val="572525512"/>
        <c:scaling>
          <c:orientation val="minMax"/>
        </c:scaling>
        <c:delete val="0"/>
        <c:axPos val="l"/>
        <c:numFmt formatCode="0.00%" sourceLinked="1"/>
        <c:majorTickMark val="none"/>
        <c:minorTickMark val="none"/>
        <c:tickLblPos val="nextTo"/>
        <c:crossAx val="5725251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GGF!$D$21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GGF!$C$22:$C$26</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GGF!$D$22:$D$26</c:f>
              <c:numCache>
                <c:formatCode>0%</c:formatCode>
                <c:ptCount val="5"/>
                <c:pt idx="0">
                  <c:v>0.12</c:v>
                </c:pt>
                <c:pt idx="1">
                  <c:v>0.38</c:v>
                </c:pt>
                <c:pt idx="2">
                  <c:v>0.25</c:v>
                </c:pt>
                <c:pt idx="3">
                  <c:v>0.2</c:v>
                </c:pt>
                <c:pt idx="4">
                  <c:v>0.05</c:v>
                </c:pt>
              </c:numCache>
            </c:numRef>
          </c:val>
        </c:ser>
        <c:ser>
          <c:idx val="1"/>
          <c:order val="1"/>
          <c:tx>
            <c:strRef>
              <c:f>GGF!$E$21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GGF!$C$22:$C$26</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GGF!$E$22:$E$26</c:f>
              <c:numCache>
                <c:formatCode>0.0%</c:formatCode>
                <c:ptCount val="5"/>
                <c:pt idx="0">
                  <c:v>0.12000000000000001</c:v>
                </c:pt>
                <c:pt idx="1">
                  <c:v>2.2222222222222223E-2</c:v>
                </c:pt>
                <c:pt idx="2">
                  <c:v>5.7500000000000002E-2</c:v>
                </c:pt>
                <c:pt idx="3">
                  <c:v>4.9945978391356539E-2</c:v>
                </c:pt>
                <c:pt idx="4">
                  <c:v>1.2499999999999999E-2</c:v>
                </c:pt>
              </c:numCache>
            </c:numRef>
          </c:val>
        </c:ser>
        <c:dLbls>
          <c:showLegendKey val="0"/>
          <c:showVal val="1"/>
          <c:showCatName val="0"/>
          <c:showSerName val="0"/>
          <c:showPercent val="0"/>
          <c:showBubbleSize val="0"/>
        </c:dLbls>
        <c:gapWidth val="75"/>
        <c:axId val="572518456"/>
        <c:axId val="572518848"/>
      </c:barChart>
      <c:catAx>
        <c:axId val="572518456"/>
        <c:scaling>
          <c:orientation val="minMax"/>
        </c:scaling>
        <c:delete val="0"/>
        <c:axPos val="b"/>
        <c:numFmt formatCode="General" sourceLinked="0"/>
        <c:majorTickMark val="none"/>
        <c:minorTickMark val="none"/>
        <c:tickLblPos val="nextTo"/>
        <c:crossAx val="572518848"/>
        <c:crosses val="autoZero"/>
        <c:auto val="1"/>
        <c:lblAlgn val="ctr"/>
        <c:lblOffset val="100"/>
        <c:noMultiLvlLbl val="0"/>
      </c:catAx>
      <c:valAx>
        <c:axId val="572518848"/>
        <c:scaling>
          <c:orientation val="minMax"/>
        </c:scaling>
        <c:delete val="0"/>
        <c:axPos val="l"/>
        <c:numFmt formatCode="0%" sourceLinked="1"/>
        <c:majorTickMark val="none"/>
        <c:minorTickMark val="none"/>
        <c:tickLblPos val="nextTo"/>
        <c:crossAx val="5725184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GGF!$D$37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GGF!$C$38:$C$42</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GGF!$D$38:$D$42</c:f>
              <c:numCache>
                <c:formatCode>0%</c:formatCode>
                <c:ptCount val="5"/>
                <c:pt idx="0">
                  <c:v>0.12000000000000001</c:v>
                </c:pt>
                <c:pt idx="1">
                  <c:v>8.9722222222222231E-2</c:v>
                </c:pt>
                <c:pt idx="2">
                  <c:v>7.7500000000000013E-2</c:v>
                </c:pt>
                <c:pt idx="3">
                  <c:v>4.9999999999999996E-2</c:v>
                </c:pt>
                <c:pt idx="4">
                  <c:v>1.2499999999999999E-2</c:v>
                </c:pt>
              </c:numCache>
            </c:numRef>
          </c:val>
        </c:ser>
        <c:ser>
          <c:idx val="1"/>
          <c:order val="1"/>
          <c:tx>
            <c:strRef>
              <c:f>GGF!$E$37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GGF!$C$38:$C$42</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GGF!$E$38:$E$42</c:f>
              <c:numCache>
                <c:formatCode>0.0%</c:formatCode>
                <c:ptCount val="5"/>
                <c:pt idx="0">
                  <c:v>0.12000000000000001</c:v>
                </c:pt>
                <c:pt idx="1">
                  <c:v>2.2222222222222223E-2</c:v>
                </c:pt>
                <c:pt idx="2">
                  <c:v>5.7500000000000002E-2</c:v>
                </c:pt>
                <c:pt idx="3">
                  <c:v>4.9945978391356539E-2</c:v>
                </c:pt>
                <c:pt idx="4">
                  <c:v>1.2499999999999999E-2</c:v>
                </c:pt>
              </c:numCache>
            </c:numRef>
          </c:val>
        </c:ser>
        <c:dLbls>
          <c:showLegendKey val="0"/>
          <c:showVal val="1"/>
          <c:showCatName val="0"/>
          <c:showSerName val="0"/>
          <c:showPercent val="0"/>
          <c:showBubbleSize val="0"/>
        </c:dLbls>
        <c:gapWidth val="75"/>
        <c:axId val="573354056"/>
        <c:axId val="573353272"/>
      </c:barChart>
      <c:catAx>
        <c:axId val="573354056"/>
        <c:scaling>
          <c:orientation val="minMax"/>
        </c:scaling>
        <c:delete val="0"/>
        <c:axPos val="b"/>
        <c:numFmt formatCode="General" sourceLinked="0"/>
        <c:majorTickMark val="none"/>
        <c:minorTickMark val="none"/>
        <c:tickLblPos val="nextTo"/>
        <c:crossAx val="573353272"/>
        <c:crosses val="autoZero"/>
        <c:auto val="1"/>
        <c:lblAlgn val="ctr"/>
        <c:lblOffset val="100"/>
        <c:noMultiLvlLbl val="0"/>
      </c:catAx>
      <c:valAx>
        <c:axId val="573353272"/>
        <c:scaling>
          <c:orientation val="minMax"/>
        </c:scaling>
        <c:delete val="0"/>
        <c:axPos val="l"/>
        <c:numFmt formatCode="0%" sourceLinked="1"/>
        <c:majorTickMark val="none"/>
        <c:minorTickMark val="none"/>
        <c:tickLblPos val="nextTo"/>
        <c:crossAx val="5733540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GGF!$C$43</c:f>
              <c:strCache>
                <c:ptCount val="1"/>
                <c:pt idx="0">
                  <c:v>TOTAL</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GGF!$D$37:$E$37</c:f>
              <c:strCache>
                <c:ptCount val="2"/>
                <c:pt idx="0">
                  <c:v>% AVANCE ESPERADO X ACTIVIDAD</c:v>
                </c:pt>
                <c:pt idx="1">
                  <c:v>% AVANCE EJECUTADO X ACTIVIDAD</c:v>
                </c:pt>
              </c:strCache>
            </c:strRef>
          </c:cat>
          <c:val>
            <c:numRef>
              <c:f>GGF!$D$43:$E$43</c:f>
              <c:numCache>
                <c:formatCode>0.0%</c:formatCode>
                <c:ptCount val="2"/>
                <c:pt idx="0">
                  <c:v>0.34972222222222227</c:v>
                </c:pt>
                <c:pt idx="1">
                  <c:v>0.26216820061357876</c:v>
                </c:pt>
              </c:numCache>
            </c:numRef>
          </c:val>
        </c:ser>
        <c:dLbls>
          <c:showLegendKey val="0"/>
          <c:showVal val="1"/>
          <c:showCatName val="0"/>
          <c:showSerName val="0"/>
          <c:showPercent val="0"/>
          <c:showBubbleSize val="0"/>
        </c:dLbls>
        <c:gapWidth val="75"/>
        <c:axId val="573357584"/>
        <c:axId val="573353664"/>
      </c:barChart>
      <c:catAx>
        <c:axId val="573357584"/>
        <c:scaling>
          <c:orientation val="minMax"/>
        </c:scaling>
        <c:delete val="0"/>
        <c:axPos val="b"/>
        <c:numFmt formatCode="General" sourceLinked="0"/>
        <c:majorTickMark val="none"/>
        <c:minorTickMark val="none"/>
        <c:tickLblPos val="nextTo"/>
        <c:crossAx val="573353664"/>
        <c:crosses val="autoZero"/>
        <c:auto val="1"/>
        <c:lblAlgn val="ctr"/>
        <c:lblOffset val="100"/>
        <c:noMultiLvlLbl val="0"/>
      </c:catAx>
      <c:valAx>
        <c:axId val="573353664"/>
        <c:scaling>
          <c:orientation val="minMax"/>
        </c:scaling>
        <c:delete val="0"/>
        <c:axPos val="l"/>
        <c:numFmt formatCode="0.0%" sourceLinked="1"/>
        <c:majorTickMark val="none"/>
        <c:minorTickMark val="none"/>
        <c:tickLblPos val="nextTo"/>
        <c:crossAx val="573357584"/>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GGA!$C$27:$C$32</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GGA!$D$27:$D$32</c:f>
              <c:numCache>
                <c:formatCode>0%</c:formatCode>
                <c:ptCount val="6"/>
                <c:pt idx="0">
                  <c:v>0.2</c:v>
                </c:pt>
                <c:pt idx="1">
                  <c:v>0.1</c:v>
                </c:pt>
                <c:pt idx="2">
                  <c:v>0.1</c:v>
                </c:pt>
                <c:pt idx="3">
                  <c:v>0.2</c:v>
                </c:pt>
                <c:pt idx="4">
                  <c:v>0.3</c:v>
                </c:pt>
                <c:pt idx="5">
                  <c:v>0.1</c:v>
                </c:pt>
              </c:numCache>
            </c:numRef>
          </c:val>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GGA!$C$27:$C$32</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GGA!$E$27:$E$32</c:f>
              <c:numCache>
                <c:formatCode>0.0%</c:formatCode>
                <c:ptCount val="6"/>
                <c:pt idx="0">
                  <c:v>0.11976744186046512</c:v>
                </c:pt>
                <c:pt idx="1">
                  <c:v>4.6875000000000007E-3</c:v>
                </c:pt>
                <c:pt idx="2">
                  <c:v>1.2499999999999999E-2</c:v>
                </c:pt>
                <c:pt idx="3">
                  <c:v>0</c:v>
                </c:pt>
                <c:pt idx="4">
                  <c:v>2.9160000000000002E-2</c:v>
                </c:pt>
                <c:pt idx="5">
                  <c:v>2.4999999999999998E-2</c:v>
                </c:pt>
              </c:numCache>
            </c:numRef>
          </c:val>
        </c:ser>
        <c:dLbls>
          <c:showLegendKey val="0"/>
          <c:showVal val="1"/>
          <c:showCatName val="0"/>
          <c:showSerName val="0"/>
          <c:showPercent val="0"/>
          <c:showBubbleSize val="0"/>
        </c:dLbls>
        <c:gapWidth val="75"/>
        <c:axId val="573354840"/>
        <c:axId val="573355232"/>
      </c:barChart>
      <c:catAx>
        <c:axId val="573354840"/>
        <c:scaling>
          <c:orientation val="minMax"/>
        </c:scaling>
        <c:delete val="0"/>
        <c:axPos val="b"/>
        <c:numFmt formatCode="General" sourceLinked="0"/>
        <c:majorTickMark val="none"/>
        <c:minorTickMark val="none"/>
        <c:tickLblPos val="nextTo"/>
        <c:crossAx val="573355232"/>
        <c:crosses val="autoZero"/>
        <c:auto val="1"/>
        <c:lblAlgn val="ctr"/>
        <c:lblOffset val="100"/>
        <c:noMultiLvlLbl val="0"/>
      </c:catAx>
      <c:valAx>
        <c:axId val="573355232"/>
        <c:scaling>
          <c:orientation val="minMax"/>
        </c:scaling>
        <c:delete val="0"/>
        <c:axPos val="l"/>
        <c:numFmt formatCode="0%" sourceLinked="1"/>
        <c:majorTickMark val="none"/>
        <c:minorTickMark val="none"/>
        <c:tickLblPos val="nextTo"/>
        <c:crossAx val="5733548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GGA!$D$40</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GGA!$C$41:$C$46</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GGA!$D$41:$D$46</c:f>
              <c:numCache>
                <c:formatCode>0.00%</c:formatCode>
                <c:ptCount val="6"/>
                <c:pt idx="0">
                  <c:v>7.3255813953488375E-2</c:v>
                </c:pt>
                <c:pt idx="1">
                  <c:v>4.6875000000000007E-3</c:v>
                </c:pt>
                <c:pt idx="2">
                  <c:v>1.2499999999999999E-2</c:v>
                </c:pt>
                <c:pt idx="3">
                  <c:v>0</c:v>
                </c:pt>
                <c:pt idx="4">
                  <c:v>3.6336153846153851E-2</c:v>
                </c:pt>
                <c:pt idx="5">
                  <c:v>2.4999999999999998E-2</c:v>
                </c:pt>
              </c:numCache>
            </c:numRef>
          </c:val>
        </c:ser>
        <c:ser>
          <c:idx val="1"/>
          <c:order val="1"/>
          <c:tx>
            <c:strRef>
              <c:f>GGA!$E$40</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GGA!$C$41:$C$46</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GGA!$E$41:$E$46</c:f>
              <c:numCache>
                <c:formatCode>0.00%</c:formatCode>
                <c:ptCount val="6"/>
                <c:pt idx="0">
                  <c:v>0.11976744186046512</c:v>
                </c:pt>
                <c:pt idx="1">
                  <c:v>4.6875000000000007E-3</c:v>
                </c:pt>
                <c:pt idx="2">
                  <c:v>1.2499999999999999E-2</c:v>
                </c:pt>
                <c:pt idx="3">
                  <c:v>0</c:v>
                </c:pt>
                <c:pt idx="4">
                  <c:v>2.9160000000000002E-2</c:v>
                </c:pt>
                <c:pt idx="5">
                  <c:v>2.4999999999999998E-2</c:v>
                </c:pt>
              </c:numCache>
            </c:numRef>
          </c:val>
        </c:ser>
        <c:dLbls>
          <c:showLegendKey val="0"/>
          <c:showVal val="1"/>
          <c:showCatName val="0"/>
          <c:showSerName val="0"/>
          <c:showPercent val="0"/>
          <c:showBubbleSize val="0"/>
        </c:dLbls>
        <c:gapWidth val="75"/>
        <c:axId val="573355624"/>
        <c:axId val="573357192"/>
      </c:barChart>
      <c:catAx>
        <c:axId val="573355624"/>
        <c:scaling>
          <c:orientation val="minMax"/>
        </c:scaling>
        <c:delete val="0"/>
        <c:axPos val="b"/>
        <c:numFmt formatCode="General" sourceLinked="0"/>
        <c:majorTickMark val="none"/>
        <c:minorTickMark val="none"/>
        <c:tickLblPos val="nextTo"/>
        <c:crossAx val="573357192"/>
        <c:crosses val="autoZero"/>
        <c:auto val="1"/>
        <c:lblAlgn val="ctr"/>
        <c:lblOffset val="100"/>
        <c:noMultiLvlLbl val="0"/>
      </c:catAx>
      <c:valAx>
        <c:axId val="573357192"/>
        <c:scaling>
          <c:orientation val="minMax"/>
        </c:scaling>
        <c:delete val="0"/>
        <c:axPos val="l"/>
        <c:numFmt formatCode="0.00%" sourceLinked="1"/>
        <c:majorTickMark val="none"/>
        <c:minorTickMark val="none"/>
        <c:tickLblPos val="nextTo"/>
        <c:crossAx val="5733556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GGA!$D$40:$E$40</c:f>
              <c:strCache>
                <c:ptCount val="2"/>
                <c:pt idx="0">
                  <c:v>% AVANCE ESPERADO X ACTIVIDAD</c:v>
                </c:pt>
                <c:pt idx="1">
                  <c:v>% AVANCE EJECUTADO X ACTIVIDAD</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GGA!$D$40:$E$40</c:f>
              <c:strCache>
                <c:ptCount val="2"/>
                <c:pt idx="0">
                  <c:v>% AVANCE ESPERADO X ACTIVIDAD</c:v>
                </c:pt>
                <c:pt idx="1">
                  <c:v>% AVANCE EJECUTADO X ACTIVIDAD</c:v>
                </c:pt>
              </c:strCache>
            </c:strRef>
          </c:cat>
          <c:val>
            <c:numRef>
              <c:f>GGA!$D$47:$E$47</c:f>
              <c:numCache>
                <c:formatCode>0.0%</c:formatCode>
                <c:ptCount val="2"/>
                <c:pt idx="0">
                  <c:v>0.15177946779964221</c:v>
                </c:pt>
                <c:pt idx="1">
                  <c:v>0.1911149418604651</c:v>
                </c:pt>
              </c:numCache>
            </c:numRef>
          </c:val>
        </c:ser>
        <c:dLbls>
          <c:showLegendKey val="0"/>
          <c:showVal val="1"/>
          <c:showCatName val="0"/>
          <c:showSerName val="0"/>
          <c:showPercent val="0"/>
          <c:showBubbleSize val="0"/>
        </c:dLbls>
        <c:gapWidth val="75"/>
        <c:axId val="573357976"/>
        <c:axId val="573351312"/>
      </c:barChart>
      <c:catAx>
        <c:axId val="573357976"/>
        <c:scaling>
          <c:orientation val="minMax"/>
        </c:scaling>
        <c:delete val="0"/>
        <c:axPos val="b"/>
        <c:numFmt formatCode="General" sourceLinked="0"/>
        <c:majorTickMark val="none"/>
        <c:minorTickMark val="none"/>
        <c:tickLblPos val="nextTo"/>
        <c:crossAx val="573351312"/>
        <c:crosses val="autoZero"/>
        <c:auto val="1"/>
        <c:lblAlgn val="ctr"/>
        <c:lblOffset val="100"/>
        <c:noMultiLvlLbl val="0"/>
      </c:catAx>
      <c:valAx>
        <c:axId val="573351312"/>
        <c:scaling>
          <c:orientation val="minMax"/>
        </c:scaling>
        <c:delete val="0"/>
        <c:axPos val="l"/>
        <c:numFmt formatCode="0.0%" sourceLinked="1"/>
        <c:majorTickMark val="none"/>
        <c:minorTickMark val="none"/>
        <c:tickLblPos val="nextTo"/>
        <c:crossAx val="5733579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GCyP!$D$26</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GCyP!$C$27:$C$31</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GCyP!$D$27:$D$31</c:f>
              <c:numCache>
                <c:formatCode>0%</c:formatCode>
                <c:ptCount val="5"/>
                <c:pt idx="0">
                  <c:v>0.2</c:v>
                </c:pt>
                <c:pt idx="1">
                  <c:v>0.3</c:v>
                </c:pt>
                <c:pt idx="2">
                  <c:v>0.2</c:v>
                </c:pt>
                <c:pt idx="3">
                  <c:v>0.2</c:v>
                </c:pt>
                <c:pt idx="4">
                  <c:v>0.1</c:v>
                </c:pt>
              </c:numCache>
            </c:numRef>
          </c:val>
        </c:ser>
        <c:ser>
          <c:idx val="1"/>
          <c:order val="1"/>
          <c:tx>
            <c:strRef>
              <c:f>GCyP!$E$26</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GCyP!$C$27:$C$31</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GCyP!$E$27:$E$31</c:f>
              <c:numCache>
                <c:formatCode>0.0%</c:formatCode>
                <c:ptCount val="5"/>
                <c:pt idx="0">
                  <c:v>2.5755183220829314E-2</c:v>
                </c:pt>
                <c:pt idx="1">
                  <c:v>8.3457142857142855E-2</c:v>
                </c:pt>
                <c:pt idx="2">
                  <c:v>0</c:v>
                </c:pt>
                <c:pt idx="3">
                  <c:v>6.2866666666666654E-2</c:v>
                </c:pt>
                <c:pt idx="4">
                  <c:v>2.0000000000000004E-2</c:v>
                </c:pt>
              </c:numCache>
            </c:numRef>
          </c:val>
        </c:ser>
        <c:dLbls>
          <c:showLegendKey val="0"/>
          <c:showVal val="1"/>
          <c:showCatName val="0"/>
          <c:showSerName val="0"/>
          <c:showPercent val="0"/>
          <c:showBubbleSize val="0"/>
        </c:dLbls>
        <c:gapWidth val="75"/>
        <c:axId val="573356800"/>
        <c:axId val="573351704"/>
      </c:barChart>
      <c:catAx>
        <c:axId val="573356800"/>
        <c:scaling>
          <c:orientation val="minMax"/>
        </c:scaling>
        <c:delete val="0"/>
        <c:axPos val="b"/>
        <c:numFmt formatCode="General" sourceLinked="0"/>
        <c:majorTickMark val="none"/>
        <c:minorTickMark val="none"/>
        <c:tickLblPos val="nextTo"/>
        <c:crossAx val="573351704"/>
        <c:crosses val="autoZero"/>
        <c:auto val="1"/>
        <c:lblAlgn val="ctr"/>
        <c:lblOffset val="100"/>
        <c:noMultiLvlLbl val="0"/>
      </c:catAx>
      <c:valAx>
        <c:axId val="573351704"/>
        <c:scaling>
          <c:orientation val="minMax"/>
        </c:scaling>
        <c:delete val="0"/>
        <c:axPos val="l"/>
        <c:numFmt formatCode="0%" sourceLinked="1"/>
        <c:majorTickMark val="none"/>
        <c:minorTickMark val="none"/>
        <c:tickLblPos val="nextTo"/>
        <c:crossAx val="5733568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GCyP!$D$41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GCyP!$C$42:$C$46</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GCyP!$D$42:$D$46</c:f>
              <c:numCache>
                <c:formatCode>0.00%</c:formatCode>
                <c:ptCount val="5"/>
                <c:pt idx="0">
                  <c:v>6.8439006750241074E-2</c:v>
                </c:pt>
                <c:pt idx="1">
                  <c:v>6.7435714285714279E-2</c:v>
                </c:pt>
                <c:pt idx="2">
                  <c:v>1.4999999999999999E-2</c:v>
                </c:pt>
                <c:pt idx="3">
                  <c:v>4.0044444444444445E-2</c:v>
                </c:pt>
                <c:pt idx="4">
                  <c:v>4.0000000000000008E-2</c:v>
                </c:pt>
              </c:numCache>
            </c:numRef>
          </c:val>
        </c:ser>
        <c:ser>
          <c:idx val="1"/>
          <c:order val="1"/>
          <c:tx>
            <c:strRef>
              <c:f>GCyP!$E$41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GCyP!$C$42:$C$46</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GCyP!$E$42:$E$46</c:f>
              <c:numCache>
                <c:formatCode>0.00%</c:formatCode>
                <c:ptCount val="5"/>
                <c:pt idx="0">
                  <c:v>2.5755183220829314E-2</c:v>
                </c:pt>
                <c:pt idx="1">
                  <c:v>8.3457142857142855E-2</c:v>
                </c:pt>
                <c:pt idx="2">
                  <c:v>0</c:v>
                </c:pt>
                <c:pt idx="3">
                  <c:v>6.2866666666666654E-2</c:v>
                </c:pt>
                <c:pt idx="4">
                  <c:v>2.0000000000000004E-2</c:v>
                </c:pt>
              </c:numCache>
            </c:numRef>
          </c:val>
        </c:ser>
        <c:dLbls>
          <c:showLegendKey val="0"/>
          <c:showVal val="1"/>
          <c:showCatName val="0"/>
          <c:showSerName val="0"/>
          <c:showPercent val="0"/>
          <c:showBubbleSize val="0"/>
        </c:dLbls>
        <c:gapWidth val="75"/>
        <c:axId val="573352488"/>
        <c:axId val="574237616"/>
      </c:barChart>
      <c:catAx>
        <c:axId val="573352488"/>
        <c:scaling>
          <c:orientation val="minMax"/>
        </c:scaling>
        <c:delete val="0"/>
        <c:axPos val="b"/>
        <c:numFmt formatCode="General" sourceLinked="0"/>
        <c:majorTickMark val="none"/>
        <c:minorTickMark val="none"/>
        <c:tickLblPos val="nextTo"/>
        <c:crossAx val="574237616"/>
        <c:crosses val="autoZero"/>
        <c:auto val="1"/>
        <c:lblAlgn val="ctr"/>
        <c:lblOffset val="100"/>
        <c:noMultiLvlLbl val="0"/>
      </c:catAx>
      <c:valAx>
        <c:axId val="574237616"/>
        <c:scaling>
          <c:orientation val="minMax"/>
        </c:scaling>
        <c:delete val="0"/>
        <c:axPos val="l"/>
        <c:numFmt formatCode="0.00%" sourceLinked="1"/>
        <c:majorTickMark val="none"/>
        <c:minorTickMark val="none"/>
        <c:tickLblPos val="nextTo"/>
        <c:crossAx val="5733524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GCyP!$D$41:$E$41</c:f>
              <c:strCache>
                <c:ptCount val="2"/>
                <c:pt idx="0">
                  <c:v>% AVANCE ESPERADO X ACTIVIDAD</c:v>
                </c:pt>
                <c:pt idx="1">
                  <c:v>% AVANCE EJECUTADO X ACTIVIDAD</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GCyP!$D$41:$E$41</c:f>
              <c:strCache>
                <c:ptCount val="2"/>
                <c:pt idx="0">
                  <c:v>% AVANCE ESPERADO X ACTIVIDAD</c:v>
                </c:pt>
                <c:pt idx="1">
                  <c:v>% AVANCE EJECUTADO X ACTIVIDAD</c:v>
                </c:pt>
              </c:strCache>
            </c:strRef>
          </c:cat>
          <c:val>
            <c:numRef>
              <c:f>GCyP!$D$47:$E$47</c:f>
              <c:numCache>
                <c:formatCode>0.0%</c:formatCode>
                <c:ptCount val="2"/>
                <c:pt idx="0">
                  <c:v>0.23091916548039979</c:v>
                </c:pt>
                <c:pt idx="1">
                  <c:v>0.19207899274463885</c:v>
                </c:pt>
              </c:numCache>
            </c:numRef>
          </c:val>
        </c:ser>
        <c:dLbls>
          <c:showLegendKey val="0"/>
          <c:showVal val="1"/>
          <c:showCatName val="0"/>
          <c:showSerName val="0"/>
          <c:showPercent val="0"/>
          <c:showBubbleSize val="0"/>
        </c:dLbls>
        <c:gapWidth val="75"/>
        <c:axId val="574237224"/>
        <c:axId val="574234480"/>
      </c:barChart>
      <c:catAx>
        <c:axId val="574237224"/>
        <c:scaling>
          <c:orientation val="minMax"/>
        </c:scaling>
        <c:delete val="0"/>
        <c:axPos val="b"/>
        <c:numFmt formatCode="General" sourceLinked="0"/>
        <c:majorTickMark val="none"/>
        <c:minorTickMark val="none"/>
        <c:tickLblPos val="nextTo"/>
        <c:crossAx val="574234480"/>
        <c:crosses val="autoZero"/>
        <c:auto val="1"/>
        <c:lblAlgn val="ctr"/>
        <c:lblOffset val="100"/>
        <c:noMultiLvlLbl val="0"/>
      </c:catAx>
      <c:valAx>
        <c:axId val="574234480"/>
        <c:scaling>
          <c:orientation val="minMax"/>
        </c:scaling>
        <c:delete val="0"/>
        <c:axPos val="l"/>
        <c:numFmt formatCode="0.0%" sourceLinked="1"/>
        <c:majorTickMark val="none"/>
        <c:minorTickMark val="none"/>
        <c:tickLblPos val="nextTo"/>
        <c:crossAx val="5742372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GEeI!$D$30</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GEeI!$C$31:$C$35</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GEeI!$D$31:$D$35</c:f>
              <c:numCache>
                <c:formatCode>0%</c:formatCode>
                <c:ptCount val="5"/>
                <c:pt idx="0">
                  <c:v>0.35</c:v>
                </c:pt>
                <c:pt idx="1">
                  <c:v>0.1</c:v>
                </c:pt>
                <c:pt idx="2">
                  <c:v>0.3</c:v>
                </c:pt>
                <c:pt idx="3">
                  <c:v>0.2</c:v>
                </c:pt>
                <c:pt idx="4">
                  <c:v>0.05</c:v>
                </c:pt>
              </c:numCache>
            </c:numRef>
          </c:val>
        </c:ser>
        <c:ser>
          <c:idx val="1"/>
          <c:order val="1"/>
          <c:tx>
            <c:strRef>
              <c:f>GEeI!$E$30</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GEeI!$C$31:$C$35</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GEeI!$E$31:$E$35</c:f>
              <c:numCache>
                <c:formatCode>0%</c:formatCode>
                <c:ptCount val="5"/>
                <c:pt idx="0">
                  <c:v>0.10973799999999999</c:v>
                </c:pt>
                <c:pt idx="1">
                  <c:v>1.7495000000000004E-2</c:v>
                </c:pt>
                <c:pt idx="2">
                  <c:v>3.7484999999999997E-2</c:v>
                </c:pt>
                <c:pt idx="3">
                  <c:v>6.9817999999999991E-2</c:v>
                </c:pt>
                <c:pt idx="4">
                  <c:v>1.2500000000000001E-2</c:v>
                </c:pt>
              </c:numCache>
            </c:numRef>
          </c:val>
        </c:ser>
        <c:dLbls>
          <c:showLegendKey val="0"/>
          <c:showVal val="1"/>
          <c:showCatName val="0"/>
          <c:showSerName val="0"/>
          <c:showPercent val="0"/>
          <c:showBubbleSize val="0"/>
        </c:dLbls>
        <c:gapWidth val="75"/>
        <c:axId val="574239184"/>
        <c:axId val="574236832"/>
      </c:barChart>
      <c:catAx>
        <c:axId val="574239184"/>
        <c:scaling>
          <c:orientation val="minMax"/>
        </c:scaling>
        <c:delete val="0"/>
        <c:axPos val="b"/>
        <c:numFmt formatCode="General" sourceLinked="0"/>
        <c:majorTickMark val="none"/>
        <c:minorTickMark val="none"/>
        <c:tickLblPos val="nextTo"/>
        <c:crossAx val="574236832"/>
        <c:crosses val="autoZero"/>
        <c:auto val="1"/>
        <c:lblAlgn val="ctr"/>
        <c:lblOffset val="100"/>
        <c:noMultiLvlLbl val="0"/>
      </c:catAx>
      <c:valAx>
        <c:axId val="574236832"/>
        <c:scaling>
          <c:orientation val="minMax"/>
        </c:scaling>
        <c:delete val="0"/>
        <c:axPos val="l"/>
        <c:numFmt formatCode="0%" sourceLinked="1"/>
        <c:majorTickMark val="none"/>
        <c:minorTickMark val="none"/>
        <c:tickLblPos val="nextTo"/>
        <c:crossAx val="5742391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GEeI!$D$42</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GEeI!$C$43:$C$47</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GEeI!$D$43:$D$47</c:f>
              <c:numCache>
                <c:formatCode>0.00%</c:formatCode>
                <c:ptCount val="5"/>
                <c:pt idx="0">
                  <c:v>6.0090909090909091E-2</c:v>
                </c:pt>
                <c:pt idx="1">
                  <c:v>2.2500000000000003E-2</c:v>
                </c:pt>
                <c:pt idx="2">
                  <c:v>3.7499999999999999E-2</c:v>
                </c:pt>
                <c:pt idx="3">
                  <c:v>5.3833333333333337E-2</c:v>
                </c:pt>
                <c:pt idx="4">
                  <c:v>1.2500000000000001E-2</c:v>
                </c:pt>
              </c:numCache>
            </c:numRef>
          </c:val>
        </c:ser>
        <c:ser>
          <c:idx val="1"/>
          <c:order val="1"/>
          <c:tx>
            <c:strRef>
              <c:f>GEeI!$E$42</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GEeI!$C$43:$C$47</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GEeI!$E$43:$E$47</c:f>
              <c:numCache>
                <c:formatCode>0.00%</c:formatCode>
                <c:ptCount val="5"/>
                <c:pt idx="0">
                  <c:v>0.10973799999999999</c:v>
                </c:pt>
                <c:pt idx="1">
                  <c:v>1.7495000000000004E-2</c:v>
                </c:pt>
                <c:pt idx="2">
                  <c:v>3.7484999999999997E-2</c:v>
                </c:pt>
                <c:pt idx="3">
                  <c:v>6.9817999999999991E-2</c:v>
                </c:pt>
                <c:pt idx="4">
                  <c:v>1.2500000000000001E-2</c:v>
                </c:pt>
              </c:numCache>
            </c:numRef>
          </c:val>
        </c:ser>
        <c:dLbls>
          <c:showLegendKey val="0"/>
          <c:showVal val="1"/>
          <c:showCatName val="0"/>
          <c:showSerName val="0"/>
          <c:showPercent val="0"/>
          <c:showBubbleSize val="0"/>
        </c:dLbls>
        <c:gapWidth val="75"/>
        <c:axId val="574240360"/>
        <c:axId val="574238008"/>
      </c:barChart>
      <c:catAx>
        <c:axId val="574240360"/>
        <c:scaling>
          <c:orientation val="minMax"/>
        </c:scaling>
        <c:delete val="0"/>
        <c:axPos val="b"/>
        <c:numFmt formatCode="General" sourceLinked="0"/>
        <c:majorTickMark val="none"/>
        <c:minorTickMark val="none"/>
        <c:tickLblPos val="nextTo"/>
        <c:crossAx val="574238008"/>
        <c:crosses val="autoZero"/>
        <c:auto val="1"/>
        <c:lblAlgn val="ctr"/>
        <c:lblOffset val="100"/>
        <c:noMultiLvlLbl val="0"/>
      </c:catAx>
      <c:valAx>
        <c:axId val="574238008"/>
        <c:scaling>
          <c:orientation val="minMax"/>
        </c:scaling>
        <c:delete val="0"/>
        <c:axPos val="l"/>
        <c:numFmt formatCode="0.00%" sourceLinked="1"/>
        <c:majorTickMark val="none"/>
        <c:minorTickMark val="none"/>
        <c:tickLblPos val="nextTo"/>
        <c:crossAx val="57424036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GEeI!$C$48</c:f>
              <c:strCache>
                <c:ptCount val="1"/>
                <c:pt idx="0">
                  <c:v>TOTAL</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GEeI!$D$42:$E$42</c:f>
              <c:strCache>
                <c:ptCount val="2"/>
                <c:pt idx="0">
                  <c:v>% AVANCE ESPERADO X ACTIVIDAD</c:v>
                </c:pt>
                <c:pt idx="1">
                  <c:v>% AVANCE EJECUTADO X ACTIVIDAD</c:v>
                </c:pt>
              </c:strCache>
            </c:strRef>
          </c:cat>
          <c:val>
            <c:numRef>
              <c:f>GEeI!$D$48:$E$48</c:f>
              <c:numCache>
                <c:formatCode>0.00%</c:formatCode>
                <c:ptCount val="2"/>
                <c:pt idx="0">
                  <c:v>0.18642424242424244</c:v>
                </c:pt>
                <c:pt idx="1">
                  <c:v>0.24703599999999998</c:v>
                </c:pt>
              </c:numCache>
            </c:numRef>
          </c:val>
        </c:ser>
        <c:dLbls>
          <c:showLegendKey val="0"/>
          <c:showVal val="1"/>
          <c:showCatName val="0"/>
          <c:showSerName val="0"/>
          <c:showPercent val="0"/>
          <c:showBubbleSize val="0"/>
        </c:dLbls>
        <c:gapWidth val="75"/>
        <c:axId val="574236440"/>
        <c:axId val="574238400"/>
      </c:barChart>
      <c:catAx>
        <c:axId val="574236440"/>
        <c:scaling>
          <c:orientation val="minMax"/>
        </c:scaling>
        <c:delete val="0"/>
        <c:axPos val="b"/>
        <c:numFmt formatCode="General" sourceLinked="0"/>
        <c:majorTickMark val="none"/>
        <c:minorTickMark val="none"/>
        <c:tickLblPos val="nextTo"/>
        <c:crossAx val="574238400"/>
        <c:crosses val="autoZero"/>
        <c:auto val="1"/>
        <c:lblAlgn val="ctr"/>
        <c:lblOffset val="100"/>
        <c:noMultiLvlLbl val="0"/>
      </c:catAx>
      <c:valAx>
        <c:axId val="574238400"/>
        <c:scaling>
          <c:orientation val="minMax"/>
        </c:scaling>
        <c:delete val="0"/>
        <c:axPos val="l"/>
        <c:numFmt formatCode="0.00%" sourceLinked="1"/>
        <c:majorTickMark val="none"/>
        <c:minorTickMark val="none"/>
        <c:tickLblPos val="nextTo"/>
        <c:crossAx val="574236440"/>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GPyE!$E$32</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GPyE!$D$33:$D$38</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GPyE!$E$33:$E$38</c:f>
              <c:numCache>
                <c:formatCode>0%</c:formatCode>
                <c:ptCount val="6"/>
                <c:pt idx="0">
                  <c:v>0.1</c:v>
                </c:pt>
                <c:pt idx="1">
                  <c:v>0.35</c:v>
                </c:pt>
                <c:pt idx="2">
                  <c:v>0.12</c:v>
                </c:pt>
                <c:pt idx="3">
                  <c:v>0.2</c:v>
                </c:pt>
                <c:pt idx="4">
                  <c:v>0.2</c:v>
                </c:pt>
                <c:pt idx="5">
                  <c:v>0.03</c:v>
                </c:pt>
              </c:numCache>
            </c:numRef>
          </c:val>
        </c:ser>
        <c:ser>
          <c:idx val="1"/>
          <c:order val="1"/>
          <c:tx>
            <c:strRef>
              <c:f>GPyE!$F$32</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GPyE!$D$33:$D$38</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GPyE!$F$33:$F$38</c:f>
              <c:numCache>
                <c:formatCode>0.0%</c:formatCode>
                <c:ptCount val="6"/>
                <c:pt idx="0">
                  <c:v>5.7500000000000002E-2</c:v>
                </c:pt>
                <c:pt idx="1">
                  <c:v>0.13749999999999998</c:v>
                </c:pt>
                <c:pt idx="2">
                  <c:v>2.8630000000000003E-2</c:v>
                </c:pt>
                <c:pt idx="3">
                  <c:v>3.5000000000000003E-2</c:v>
                </c:pt>
                <c:pt idx="4">
                  <c:v>0.12999500000000003</c:v>
                </c:pt>
                <c:pt idx="5">
                  <c:v>7.4970000000000002E-3</c:v>
                </c:pt>
              </c:numCache>
            </c:numRef>
          </c:val>
        </c:ser>
        <c:dLbls>
          <c:showLegendKey val="0"/>
          <c:showVal val="1"/>
          <c:showCatName val="0"/>
          <c:showSerName val="0"/>
          <c:showPercent val="0"/>
          <c:showBubbleSize val="0"/>
        </c:dLbls>
        <c:gapWidth val="75"/>
        <c:axId val="574238792"/>
        <c:axId val="574234088"/>
      </c:barChart>
      <c:catAx>
        <c:axId val="574238792"/>
        <c:scaling>
          <c:orientation val="minMax"/>
        </c:scaling>
        <c:delete val="0"/>
        <c:axPos val="b"/>
        <c:numFmt formatCode="General" sourceLinked="0"/>
        <c:majorTickMark val="none"/>
        <c:minorTickMark val="none"/>
        <c:tickLblPos val="nextTo"/>
        <c:crossAx val="574234088"/>
        <c:crosses val="autoZero"/>
        <c:auto val="1"/>
        <c:lblAlgn val="ctr"/>
        <c:lblOffset val="100"/>
        <c:noMultiLvlLbl val="0"/>
      </c:catAx>
      <c:valAx>
        <c:axId val="574234088"/>
        <c:scaling>
          <c:orientation val="minMax"/>
        </c:scaling>
        <c:delete val="0"/>
        <c:axPos val="l"/>
        <c:numFmt formatCode="0%" sourceLinked="1"/>
        <c:majorTickMark val="none"/>
        <c:minorTickMark val="none"/>
        <c:tickLblPos val="nextTo"/>
        <c:crossAx val="5742387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GPyE!$E$47:$E$48</c:f>
              <c:strCache>
                <c:ptCount val="2"/>
                <c:pt idx="0">
                  <c:v>% AVANCE ESPERADO X ACTIVIDAD</c:v>
                </c:pt>
                <c:pt idx="1">
                  <c:v>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GPyE!$D$48:$D$53</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GPyE!$E$48:$E$53</c:f>
              <c:numCache>
                <c:formatCode>0%</c:formatCode>
                <c:ptCount val="6"/>
                <c:pt idx="0">
                  <c:v>5.7500000000000002E-2</c:v>
                </c:pt>
                <c:pt idx="1">
                  <c:v>0.13749999999999998</c:v>
                </c:pt>
                <c:pt idx="2">
                  <c:v>2.8630000000000003E-2</c:v>
                </c:pt>
                <c:pt idx="3">
                  <c:v>1.4999999999999999E-2</c:v>
                </c:pt>
                <c:pt idx="4">
                  <c:v>0.12499500000000001</c:v>
                </c:pt>
                <c:pt idx="5">
                  <c:v>7.4970000000000002E-3</c:v>
                </c:pt>
              </c:numCache>
            </c:numRef>
          </c:val>
        </c:ser>
        <c:ser>
          <c:idx val="1"/>
          <c:order val="1"/>
          <c:tx>
            <c:strRef>
              <c:f>GPyE!$F$47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GPyE!$D$48:$D$53</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GPyE!$F$48:$F$53</c:f>
              <c:numCache>
                <c:formatCode>0%</c:formatCode>
                <c:ptCount val="6"/>
                <c:pt idx="0">
                  <c:v>5.7500000000000002E-2</c:v>
                </c:pt>
                <c:pt idx="1">
                  <c:v>0.13749999999999998</c:v>
                </c:pt>
                <c:pt idx="2">
                  <c:v>2.8630000000000003E-2</c:v>
                </c:pt>
                <c:pt idx="3">
                  <c:v>3.5000000000000003E-2</c:v>
                </c:pt>
                <c:pt idx="4">
                  <c:v>0.12999500000000003</c:v>
                </c:pt>
                <c:pt idx="5">
                  <c:v>7.4970000000000002E-3</c:v>
                </c:pt>
              </c:numCache>
            </c:numRef>
          </c:val>
        </c:ser>
        <c:dLbls>
          <c:showLegendKey val="0"/>
          <c:showVal val="1"/>
          <c:showCatName val="0"/>
          <c:showSerName val="0"/>
          <c:showPercent val="0"/>
          <c:showBubbleSize val="0"/>
        </c:dLbls>
        <c:gapWidth val="75"/>
        <c:axId val="574239576"/>
        <c:axId val="574239968"/>
      </c:barChart>
      <c:catAx>
        <c:axId val="574239576"/>
        <c:scaling>
          <c:orientation val="minMax"/>
        </c:scaling>
        <c:delete val="0"/>
        <c:axPos val="b"/>
        <c:numFmt formatCode="General" sourceLinked="0"/>
        <c:majorTickMark val="none"/>
        <c:minorTickMark val="none"/>
        <c:tickLblPos val="nextTo"/>
        <c:crossAx val="574239968"/>
        <c:crosses val="autoZero"/>
        <c:auto val="1"/>
        <c:lblAlgn val="ctr"/>
        <c:lblOffset val="100"/>
        <c:noMultiLvlLbl val="0"/>
      </c:catAx>
      <c:valAx>
        <c:axId val="574239968"/>
        <c:scaling>
          <c:orientation val="minMax"/>
        </c:scaling>
        <c:delete val="0"/>
        <c:axPos val="l"/>
        <c:numFmt formatCode="0%" sourceLinked="1"/>
        <c:majorTickMark val="none"/>
        <c:minorTickMark val="none"/>
        <c:tickLblPos val="nextTo"/>
        <c:crossAx val="5742395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GPyE!$D$54</c:f>
              <c:strCache>
                <c:ptCount val="1"/>
                <c:pt idx="0">
                  <c:v>TOTAL</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GPyE!$E$47:$F$47</c:f>
              <c:strCache>
                <c:ptCount val="2"/>
                <c:pt idx="0">
                  <c:v>% AVANCE ESPERADO X ACTIVIDAD</c:v>
                </c:pt>
                <c:pt idx="1">
                  <c:v>% AVANCE EJECUTADO X ACTIVIDAD</c:v>
                </c:pt>
              </c:strCache>
            </c:strRef>
          </c:cat>
          <c:val>
            <c:numRef>
              <c:f>GPyE!$E$54:$F$54</c:f>
              <c:numCache>
                <c:formatCode>0.0%</c:formatCode>
                <c:ptCount val="2"/>
                <c:pt idx="0">
                  <c:v>0.37112200000000001</c:v>
                </c:pt>
                <c:pt idx="1">
                  <c:v>0.39612200000000003</c:v>
                </c:pt>
              </c:numCache>
            </c:numRef>
          </c:val>
        </c:ser>
        <c:dLbls>
          <c:showLegendKey val="0"/>
          <c:showVal val="1"/>
          <c:showCatName val="0"/>
          <c:showSerName val="0"/>
          <c:showPercent val="0"/>
          <c:showBubbleSize val="0"/>
        </c:dLbls>
        <c:gapWidth val="75"/>
        <c:axId val="574171632"/>
        <c:axId val="574174376"/>
      </c:barChart>
      <c:catAx>
        <c:axId val="574171632"/>
        <c:scaling>
          <c:orientation val="minMax"/>
        </c:scaling>
        <c:delete val="0"/>
        <c:axPos val="b"/>
        <c:numFmt formatCode="General" sourceLinked="0"/>
        <c:majorTickMark val="none"/>
        <c:minorTickMark val="none"/>
        <c:tickLblPos val="nextTo"/>
        <c:crossAx val="574174376"/>
        <c:crosses val="autoZero"/>
        <c:auto val="1"/>
        <c:lblAlgn val="ctr"/>
        <c:lblOffset val="100"/>
        <c:noMultiLvlLbl val="0"/>
      </c:catAx>
      <c:valAx>
        <c:axId val="574174376"/>
        <c:scaling>
          <c:orientation val="minMax"/>
        </c:scaling>
        <c:delete val="0"/>
        <c:axPos val="l"/>
        <c:numFmt formatCode="0.0%" sourceLinked="1"/>
        <c:majorTickMark val="none"/>
        <c:minorTickMark val="none"/>
        <c:tickLblPos val="nextTo"/>
        <c:crossAx val="574171632"/>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GTIC!$D$17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GTIC!$C$18:$C$21</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GTIC!$D$18:$D$21</c:f>
              <c:numCache>
                <c:formatCode>0%</c:formatCode>
                <c:ptCount val="4"/>
                <c:pt idx="0">
                  <c:v>0.27</c:v>
                </c:pt>
                <c:pt idx="1">
                  <c:v>0.28000000000000003</c:v>
                </c:pt>
                <c:pt idx="2">
                  <c:v>0.16</c:v>
                </c:pt>
                <c:pt idx="3">
                  <c:v>0.28999999999999998</c:v>
                </c:pt>
              </c:numCache>
            </c:numRef>
          </c:val>
        </c:ser>
        <c:ser>
          <c:idx val="1"/>
          <c:order val="1"/>
          <c:tx>
            <c:strRef>
              <c:f>GTIC!$E$17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GTIC!$C$18:$C$21</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GTIC!$E$18:$E$21</c:f>
              <c:numCache>
                <c:formatCode>0.0%</c:formatCode>
                <c:ptCount val="4"/>
                <c:pt idx="0">
                  <c:v>3.7499999999999992E-2</c:v>
                </c:pt>
                <c:pt idx="1">
                  <c:v>0.03</c:v>
                </c:pt>
                <c:pt idx="2">
                  <c:v>0</c:v>
                </c:pt>
                <c:pt idx="3">
                  <c:v>9.2660236217332714E-2</c:v>
                </c:pt>
              </c:numCache>
            </c:numRef>
          </c:val>
        </c:ser>
        <c:dLbls>
          <c:showLegendKey val="0"/>
          <c:showVal val="1"/>
          <c:showCatName val="0"/>
          <c:showSerName val="0"/>
          <c:showPercent val="0"/>
          <c:showBubbleSize val="0"/>
        </c:dLbls>
        <c:gapWidth val="75"/>
        <c:axId val="574176336"/>
        <c:axId val="574175160"/>
      </c:barChart>
      <c:catAx>
        <c:axId val="574176336"/>
        <c:scaling>
          <c:orientation val="minMax"/>
        </c:scaling>
        <c:delete val="0"/>
        <c:axPos val="b"/>
        <c:numFmt formatCode="General" sourceLinked="0"/>
        <c:majorTickMark val="none"/>
        <c:minorTickMark val="none"/>
        <c:tickLblPos val="nextTo"/>
        <c:crossAx val="574175160"/>
        <c:crosses val="autoZero"/>
        <c:auto val="1"/>
        <c:lblAlgn val="ctr"/>
        <c:lblOffset val="100"/>
        <c:noMultiLvlLbl val="0"/>
      </c:catAx>
      <c:valAx>
        <c:axId val="574175160"/>
        <c:scaling>
          <c:orientation val="minMax"/>
        </c:scaling>
        <c:delete val="0"/>
        <c:axPos val="l"/>
        <c:numFmt formatCode="0%" sourceLinked="1"/>
        <c:majorTickMark val="none"/>
        <c:minorTickMark val="none"/>
        <c:tickLblPos val="nextTo"/>
        <c:crossAx val="5741763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GTIC!$D$29</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GTIC!$C$30:$C$33</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GTIC!$D$30:$D$33</c:f>
              <c:numCache>
                <c:formatCode>0.00%</c:formatCode>
                <c:ptCount val="4"/>
                <c:pt idx="0">
                  <c:v>3.7499999999999992E-2</c:v>
                </c:pt>
                <c:pt idx="1">
                  <c:v>0.03</c:v>
                </c:pt>
                <c:pt idx="2">
                  <c:v>0</c:v>
                </c:pt>
                <c:pt idx="3">
                  <c:v>8.9995813163414234E-2</c:v>
                </c:pt>
              </c:numCache>
            </c:numRef>
          </c:val>
        </c:ser>
        <c:ser>
          <c:idx val="1"/>
          <c:order val="1"/>
          <c:tx>
            <c:strRef>
              <c:f>GTIC!$E$29</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GTIC!$C$30:$C$33</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GTIC!$E$30:$E$33</c:f>
              <c:numCache>
                <c:formatCode>0.00%</c:formatCode>
                <c:ptCount val="4"/>
                <c:pt idx="0">
                  <c:v>3.7499999999999992E-2</c:v>
                </c:pt>
                <c:pt idx="1">
                  <c:v>0.03</c:v>
                </c:pt>
                <c:pt idx="2">
                  <c:v>0</c:v>
                </c:pt>
                <c:pt idx="3">
                  <c:v>9.2660236217332714E-2</c:v>
                </c:pt>
              </c:numCache>
            </c:numRef>
          </c:val>
        </c:ser>
        <c:dLbls>
          <c:showLegendKey val="0"/>
          <c:showVal val="1"/>
          <c:showCatName val="0"/>
          <c:showSerName val="0"/>
          <c:showPercent val="0"/>
          <c:showBubbleSize val="0"/>
        </c:dLbls>
        <c:gapWidth val="75"/>
        <c:axId val="574173592"/>
        <c:axId val="574177904"/>
      </c:barChart>
      <c:catAx>
        <c:axId val="574173592"/>
        <c:scaling>
          <c:orientation val="minMax"/>
        </c:scaling>
        <c:delete val="0"/>
        <c:axPos val="b"/>
        <c:numFmt formatCode="General" sourceLinked="0"/>
        <c:majorTickMark val="none"/>
        <c:minorTickMark val="none"/>
        <c:tickLblPos val="nextTo"/>
        <c:crossAx val="574177904"/>
        <c:crosses val="autoZero"/>
        <c:auto val="1"/>
        <c:lblAlgn val="ctr"/>
        <c:lblOffset val="100"/>
        <c:noMultiLvlLbl val="0"/>
      </c:catAx>
      <c:valAx>
        <c:axId val="574177904"/>
        <c:scaling>
          <c:orientation val="minMax"/>
        </c:scaling>
        <c:delete val="0"/>
        <c:axPos val="l"/>
        <c:numFmt formatCode="0.00%" sourceLinked="1"/>
        <c:majorTickMark val="none"/>
        <c:minorTickMark val="none"/>
        <c:tickLblPos val="nextTo"/>
        <c:crossAx val="5741735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GTIC!$C$34</c:f>
              <c:strCache>
                <c:ptCount val="1"/>
                <c:pt idx="0">
                  <c:v>TOTAL</c:v>
                </c:pt>
              </c:strCache>
            </c:strRef>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GTIC!$D$29:$E$29</c:f>
              <c:strCache>
                <c:ptCount val="2"/>
                <c:pt idx="0">
                  <c:v>% AVANCE ESPERADO X ACTIVIDAD</c:v>
                </c:pt>
                <c:pt idx="1">
                  <c:v>% AVANCE EJECUTADO X ACTIVIDAD</c:v>
                </c:pt>
              </c:strCache>
            </c:strRef>
          </c:cat>
          <c:val>
            <c:numRef>
              <c:f>GTIC!$D$34:$E$34</c:f>
              <c:numCache>
                <c:formatCode>0.0%</c:formatCode>
                <c:ptCount val="2"/>
                <c:pt idx="0">
                  <c:v>0.15749581316341421</c:v>
                </c:pt>
                <c:pt idx="1">
                  <c:v>0.16016023621733272</c:v>
                </c:pt>
              </c:numCache>
            </c:numRef>
          </c:val>
        </c:ser>
        <c:dLbls>
          <c:showLegendKey val="0"/>
          <c:showVal val="1"/>
          <c:showCatName val="0"/>
          <c:showSerName val="0"/>
          <c:showPercent val="0"/>
          <c:showBubbleSize val="0"/>
        </c:dLbls>
        <c:gapWidth val="75"/>
        <c:axId val="574173984"/>
        <c:axId val="574176728"/>
      </c:barChart>
      <c:catAx>
        <c:axId val="574173984"/>
        <c:scaling>
          <c:orientation val="minMax"/>
        </c:scaling>
        <c:delete val="0"/>
        <c:axPos val="b"/>
        <c:numFmt formatCode="General" sourceLinked="0"/>
        <c:majorTickMark val="none"/>
        <c:minorTickMark val="none"/>
        <c:tickLblPos val="nextTo"/>
        <c:crossAx val="574176728"/>
        <c:crosses val="autoZero"/>
        <c:auto val="1"/>
        <c:lblAlgn val="ctr"/>
        <c:lblOffset val="100"/>
        <c:noMultiLvlLbl val="0"/>
      </c:catAx>
      <c:valAx>
        <c:axId val="574176728"/>
        <c:scaling>
          <c:orientation val="minMax"/>
        </c:scaling>
        <c:delete val="0"/>
        <c:axPos val="l"/>
        <c:numFmt formatCode="0.0%" sourceLinked="1"/>
        <c:majorTickMark val="none"/>
        <c:minorTickMark val="none"/>
        <c:tickLblPos val="nextTo"/>
        <c:crossAx val="574173984"/>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c:f>
              <c:strCache>
                <c:ptCount val="1"/>
                <c:pt idx="0">
                  <c:v>% AVANCE EJECUTADO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TOTAL!$B$3:$B$14</c:f>
              <c:strCache>
                <c:ptCount val="12"/>
                <c:pt idx="0">
                  <c:v>Grupo de Emprendimiento y Productividad</c:v>
                </c:pt>
                <c:pt idx="1">
                  <c:v>Grupo de Atención Esp. a Poblaciones </c:v>
                </c:pt>
                <c:pt idx="2">
                  <c:v>Grupo de Desarrollo Solidario</c:v>
                </c:pt>
                <c:pt idx="3">
                  <c:v>Control Interno</c:v>
                </c:pt>
                <c:pt idx="4">
                  <c:v>Oficina Asesora Jurídica</c:v>
                </c:pt>
                <c:pt idx="5">
                  <c:v>Gestión Humana</c:v>
                </c:pt>
                <c:pt idx="6">
                  <c:v>Gestión Financiera</c:v>
                </c:pt>
                <c:pt idx="7">
                  <c:v>Gestión Administrativa</c:v>
                </c:pt>
                <c:pt idx="8">
                  <c:v>Comunicaciones y Prensa</c:v>
                </c:pt>
                <c:pt idx="9">
                  <c:v>Educación e Investigación</c:v>
                </c:pt>
                <c:pt idx="10">
                  <c:v>Planeación y Estadística</c:v>
                </c:pt>
                <c:pt idx="11">
                  <c:v>TIC´s</c:v>
                </c:pt>
              </c:strCache>
            </c:strRef>
          </c:cat>
          <c:val>
            <c:numRef>
              <c:f>TOTAL!$C$3:$C$14</c:f>
              <c:numCache>
                <c:formatCode>0.00%</c:formatCode>
                <c:ptCount val="12"/>
                <c:pt idx="0">
                  <c:v>0.37211666666666671</c:v>
                </c:pt>
                <c:pt idx="1">
                  <c:v>0.45748809523809525</c:v>
                </c:pt>
                <c:pt idx="2">
                  <c:v>0.22128333333333336</c:v>
                </c:pt>
                <c:pt idx="3">
                  <c:v>0.23975274726473528</c:v>
                </c:pt>
                <c:pt idx="4">
                  <c:v>0.34389772727272733</c:v>
                </c:pt>
                <c:pt idx="5">
                  <c:v>0.3776640714285715</c:v>
                </c:pt>
                <c:pt idx="6">
                  <c:v>0.26216820061357882</c:v>
                </c:pt>
                <c:pt idx="7">
                  <c:v>0.19111494186046513</c:v>
                </c:pt>
                <c:pt idx="8">
                  <c:v>0.19207899274463885</c:v>
                </c:pt>
                <c:pt idx="9">
                  <c:v>0.24703599999999998</c:v>
                </c:pt>
                <c:pt idx="10">
                  <c:v>0.39612200000000003</c:v>
                </c:pt>
                <c:pt idx="11">
                  <c:v>0.16016023621733272</c:v>
                </c:pt>
              </c:numCache>
            </c:numRef>
          </c:val>
        </c:ser>
        <c:ser>
          <c:idx val="1"/>
          <c:order val="1"/>
          <c:tx>
            <c:strRef>
              <c:f>TOTAL!$D$2</c:f>
              <c:strCache>
                <c:ptCount val="1"/>
                <c:pt idx="0">
                  <c:v>% AVANCE ESPERADO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TOTAL!$B$3:$B$14</c:f>
              <c:strCache>
                <c:ptCount val="12"/>
                <c:pt idx="0">
                  <c:v>Grupo de Emprendimiento y Productividad</c:v>
                </c:pt>
                <c:pt idx="1">
                  <c:v>Grupo de Atención Esp. a Poblaciones </c:v>
                </c:pt>
                <c:pt idx="2">
                  <c:v>Grupo de Desarrollo Solidario</c:v>
                </c:pt>
                <c:pt idx="3">
                  <c:v>Control Interno</c:v>
                </c:pt>
                <c:pt idx="4">
                  <c:v>Oficina Asesora Jurídica</c:v>
                </c:pt>
                <c:pt idx="5">
                  <c:v>Gestión Humana</c:v>
                </c:pt>
                <c:pt idx="6">
                  <c:v>Gestión Financiera</c:v>
                </c:pt>
                <c:pt idx="7">
                  <c:v>Gestión Administrativa</c:v>
                </c:pt>
                <c:pt idx="8">
                  <c:v>Comunicaciones y Prensa</c:v>
                </c:pt>
                <c:pt idx="9">
                  <c:v>Educación e Investigación</c:v>
                </c:pt>
                <c:pt idx="10">
                  <c:v>Planeación y Estadística</c:v>
                </c:pt>
                <c:pt idx="11">
                  <c:v>TIC´s</c:v>
                </c:pt>
              </c:strCache>
            </c:strRef>
          </c:cat>
          <c:val>
            <c:numRef>
              <c:f>TOTAL!$D$3:$D$14</c:f>
              <c:numCache>
                <c:formatCode>0.00%</c:formatCode>
                <c:ptCount val="12"/>
                <c:pt idx="0">
                  <c:v>4.4499999999999998E-2</c:v>
                </c:pt>
                <c:pt idx="1">
                  <c:v>0.19715476190476192</c:v>
                </c:pt>
                <c:pt idx="2">
                  <c:v>0.17266666666666669</c:v>
                </c:pt>
                <c:pt idx="3">
                  <c:v>0.2265151515151515</c:v>
                </c:pt>
                <c:pt idx="4">
                  <c:v>0.26813681818181817</c:v>
                </c:pt>
                <c:pt idx="5">
                  <c:v>0.3776640714285715</c:v>
                </c:pt>
                <c:pt idx="6">
                  <c:v>0.34972222222222232</c:v>
                </c:pt>
                <c:pt idx="7">
                  <c:v>0.15177946779964221</c:v>
                </c:pt>
                <c:pt idx="8">
                  <c:v>0.23091916548039979</c:v>
                </c:pt>
                <c:pt idx="9">
                  <c:v>0.18642424242424244</c:v>
                </c:pt>
                <c:pt idx="10">
                  <c:v>0.37112200000000001</c:v>
                </c:pt>
                <c:pt idx="11">
                  <c:v>0.15749581316341424</c:v>
                </c:pt>
              </c:numCache>
            </c:numRef>
          </c:val>
        </c:ser>
        <c:dLbls>
          <c:showLegendKey val="0"/>
          <c:showVal val="1"/>
          <c:showCatName val="0"/>
          <c:showSerName val="0"/>
          <c:showPercent val="0"/>
          <c:showBubbleSize val="0"/>
        </c:dLbls>
        <c:gapWidth val="75"/>
        <c:axId val="574173200"/>
        <c:axId val="574172024"/>
      </c:barChart>
      <c:catAx>
        <c:axId val="574173200"/>
        <c:scaling>
          <c:orientation val="minMax"/>
        </c:scaling>
        <c:delete val="0"/>
        <c:axPos val="b"/>
        <c:numFmt formatCode="General" sourceLinked="0"/>
        <c:majorTickMark val="none"/>
        <c:minorTickMark val="none"/>
        <c:tickLblPos val="nextTo"/>
        <c:crossAx val="574172024"/>
        <c:crosses val="autoZero"/>
        <c:auto val="1"/>
        <c:lblAlgn val="ctr"/>
        <c:lblOffset val="100"/>
        <c:noMultiLvlLbl val="0"/>
      </c:catAx>
      <c:valAx>
        <c:axId val="574172024"/>
        <c:scaling>
          <c:orientation val="minMax"/>
        </c:scaling>
        <c:delete val="0"/>
        <c:axPos val="l"/>
        <c:numFmt formatCode="0.00%" sourceLinked="1"/>
        <c:majorTickMark val="none"/>
        <c:minorTickMark val="none"/>
        <c:tickLblPos val="nextTo"/>
        <c:crossAx val="5741732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 DE CUMPLIMIENTO TOTAL</a:t>
            </a:r>
          </a:p>
        </c:rich>
      </c:tx>
      <c:layout/>
      <c:overlay val="0"/>
    </c:title>
    <c:autoTitleDeleted val="0"/>
    <c:plotArea>
      <c:layout/>
      <c:barChart>
        <c:barDir val="col"/>
        <c:grouping val="clustered"/>
        <c:varyColors val="0"/>
        <c:ser>
          <c:idx val="0"/>
          <c:order val="0"/>
          <c:invertIfNegative val="0"/>
          <c:dPt>
            <c:idx val="1"/>
            <c:invertIfNegative val="0"/>
            <c:bubble3D val="0"/>
            <c:spPr>
              <a:solidFill>
                <a:schemeClr val="accent2"/>
              </a:solidFill>
            </c:spPr>
          </c:dPt>
          <c:cat>
            <c:strRef>
              <c:f>TOTAL!$C$2:$D$2</c:f>
              <c:strCache>
                <c:ptCount val="2"/>
                <c:pt idx="0">
                  <c:v>% AVANCE EJECUTADO</c:v>
                </c:pt>
                <c:pt idx="1">
                  <c:v>% AVANCE ESPERADO</c:v>
                </c:pt>
              </c:strCache>
            </c:strRef>
          </c:cat>
          <c:val>
            <c:numRef>
              <c:f>TOTAL!$C$15:$D$15</c:f>
              <c:numCache>
                <c:formatCode>0.00%</c:formatCode>
                <c:ptCount val="2"/>
                <c:pt idx="0">
                  <c:v>0.28840691772001209</c:v>
                </c:pt>
                <c:pt idx="1">
                  <c:v>0.22784169839890758</c:v>
                </c:pt>
              </c:numCache>
            </c:numRef>
          </c:val>
        </c:ser>
        <c:dLbls>
          <c:showLegendKey val="0"/>
          <c:showVal val="0"/>
          <c:showCatName val="0"/>
          <c:showSerName val="0"/>
          <c:showPercent val="0"/>
          <c:showBubbleSize val="0"/>
        </c:dLbls>
        <c:gapWidth val="150"/>
        <c:axId val="574172808"/>
        <c:axId val="574178296"/>
      </c:barChart>
      <c:catAx>
        <c:axId val="574172808"/>
        <c:scaling>
          <c:orientation val="minMax"/>
        </c:scaling>
        <c:delete val="0"/>
        <c:axPos val="b"/>
        <c:numFmt formatCode="General" sourceLinked="0"/>
        <c:majorTickMark val="none"/>
        <c:minorTickMark val="none"/>
        <c:tickLblPos val="nextTo"/>
        <c:crossAx val="574178296"/>
        <c:crosses val="autoZero"/>
        <c:auto val="1"/>
        <c:lblAlgn val="ctr"/>
        <c:lblOffset val="100"/>
        <c:noMultiLvlLbl val="0"/>
      </c:catAx>
      <c:valAx>
        <c:axId val="574178296"/>
        <c:scaling>
          <c:orientation val="minMax"/>
        </c:scaling>
        <c:delete val="0"/>
        <c:axPos val="l"/>
        <c:majorGridlines/>
        <c:numFmt formatCode="0.00%" sourceLinked="1"/>
        <c:majorTickMark val="none"/>
        <c:minorTickMark val="none"/>
        <c:tickLblPos val="nextTo"/>
        <c:crossAx val="5741728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5</xdr:col>
      <xdr:colOff>155121</xdr:colOff>
      <xdr:row>23</xdr:row>
      <xdr:rowOff>155801</xdr:rowOff>
    </xdr:from>
    <xdr:to>
      <xdr:col>37</xdr:col>
      <xdr:colOff>176892</xdr:colOff>
      <xdr:row>40</xdr:row>
      <xdr:rowOff>163286</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1510390</xdr:colOff>
      <xdr:row>47</xdr:row>
      <xdr:rowOff>91167</xdr:rowOff>
    </xdr:from>
    <xdr:to>
      <xdr:col>12</xdr:col>
      <xdr:colOff>68034</xdr:colOff>
      <xdr:row>71</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40821</xdr:colOff>
      <xdr:row>47</xdr:row>
      <xdr:rowOff>77560</xdr:rowOff>
    </xdr:from>
    <xdr:to>
      <xdr:col>40</xdr:col>
      <xdr:colOff>122464</xdr:colOff>
      <xdr:row>71</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301759</xdr:colOff>
      <xdr:row>26</xdr:row>
      <xdr:rowOff>2320</xdr:rowOff>
    </xdr:from>
    <xdr:to>
      <xdr:col>33</xdr:col>
      <xdr:colOff>217715</xdr:colOff>
      <xdr:row>44</xdr:row>
      <xdr:rowOff>108857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13607</xdr:colOff>
      <xdr:row>49</xdr:row>
      <xdr:rowOff>118381</xdr:rowOff>
    </xdr:from>
    <xdr:to>
      <xdr:col>7</xdr:col>
      <xdr:colOff>108857</xdr:colOff>
      <xdr:row>73</xdr:row>
      <xdr:rowOff>136071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108856</xdr:colOff>
      <xdr:row>49</xdr:row>
      <xdr:rowOff>91167</xdr:rowOff>
    </xdr:from>
    <xdr:to>
      <xdr:col>32</xdr:col>
      <xdr:colOff>13607</xdr:colOff>
      <xdr:row>74</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666750</xdr:colOff>
      <xdr:row>17</xdr:row>
      <xdr:rowOff>207962</xdr:rowOff>
    </xdr:from>
    <xdr:to>
      <xdr:col>38</xdr:col>
      <xdr:colOff>206375</xdr:colOff>
      <xdr:row>32</xdr:row>
      <xdr:rowOff>127001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1381124</xdr:colOff>
      <xdr:row>45</xdr:row>
      <xdr:rowOff>65086</xdr:rowOff>
    </xdr:from>
    <xdr:to>
      <xdr:col>5</xdr:col>
      <xdr:colOff>1143000</xdr:colOff>
      <xdr:row>74</xdr:row>
      <xdr:rowOff>95249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730250</xdr:colOff>
      <xdr:row>46</xdr:row>
      <xdr:rowOff>0</xdr:rowOff>
    </xdr:from>
    <xdr:to>
      <xdr:col>32</xdr:col>
      <xdr:colOff>95250</xdr:colOff>
      <xdr:row>74</xdr:row>
      <xdr:rowOff>111125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936625</xdr:colOff>
      <xdr:row>22</xdr:row>
      <xdr:rowOff>0</xdr:rowOff>
    </xdr:from>
    <xdr:to>
      <xdr:col>37</xdr:col>
      <xdr:colOff>47625</xdr:colOff>
      <xdr:row>42</xdr:row>
      <xdr:rowOff>31751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1523999</xdr:colOff>
      <xdr:row>46</xdr:row>
      <xdr:rowOff>65086</xdr:rowOff>
    </xdr:from>
    <xdr:to>
      <xdr:col>6</xdr:col>
      <xdr:colOff>126999</xdr:colOff>
      <xdr:row>72</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174625</xdr:colOff>
      <xdr:row>46</xdr:row>
      <xdr:rowOff>128586</xdr:rowOff>
    </xdr:from>
    <xdr:to>
      <xdr:col>25</xdr:col>
      <xdr:colOff>174625</xdr:colOff>
      <xdr:row>71</xdr:row>
      <xdr:rowOff>111125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789213</xdr:colOff>
      <xdr:row>19</xdr:row>
      <xdr:rowOff>118381</xdr:rowOff>
    </xdr:from>
    <xdr:to>
      <xdr:col>39</xdr:col>
      <xdr:colOff>81642</xdr:colOff>
      <xdr:row>35</xdr:row>
      <xdr:rowOff>54428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40820</xdr:colOff>
      <xdr:row>47</xdr:row>
      <xdr:rowOff>91167</xdr:rowOff>
    </xdr:from>
    <xdr:to>
      <xdr:col>11</xdr:col>
      <xdr:colOff>217713</xdr:colOff>
      <xdr:row>72</xdr:row>
      <xdr:rowOff>95249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68036</xdr:colOff>
      <xdr:row>47</xdr:row>
      <xdr:rowOff>50346</xdr:rowOff>
    </xdr:from>
    <xdr:to>
      <xdr:col>36</xdr:col>
      <xdr:colOff>136071</xdr:colOff>
      <xdr:row>72</xdr:row>
      <xdr:rowOff>81643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258536</xdr:colOff>
      <xdr:row>29</xdr:row>
      <xdr:rowOff>145595</xdr:rowOff>
    </xdr:from>
    <xdr:to>
      <xdr:col>31</xdr:col>
      <xdr:colOff>15875</xdr:colOff>
      <xdr:row>46</xdr:row>
      <xdr:rowOff>79375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15875</xdr:colOff>
      <xdr:row>58</xdr:row>
      <xdr:rowOff>160337</xdr:rowOff>
    </xdr:from>
    <xdr:to>
      <xdr:col>9</xdr:col>
      <xdr:colOff>142876</xdr:colOff>
      <xdr:row>81</xdr:row>
      <xdr:rowOff>31750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15874</xdr:colOff>
      <xdr:row>59</xdr:row>
      <xdr:rowOff>1586</xdr:rowOff>
    </xdr:from>
    <xdr:to>
      <xdr:col>36</xdr:col>
      <xdr:colOff>190499</xdr:colOff>
      <xdr:row>80</xdr:row>
      <xdr:rowOff>79374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244928</xdr:colOff>
      <xdr:row>19</xdr:row>
      <xdr:rowOff>131987</xdr:rowOff>
    </xdr:from>
    <xdr:to>
      <xdr:col>33</xdr:col>
      <xdr:colOff>231322</xdr:colOff>
      <xdr:row>38</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1483178</xdr:colOff>
      <xdr:row>46</xdr:row>
      <xdr:rowOff>23130</xdr:rowOff>
    </xdr:from>
    <xdr:to>
      <xdr:col>8</xdr:col>
      <xdr:colOff>136070</xdr:colOff>
      <xdr:row>71</xdr:row>
      <xdr:rowOff>13606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108856</xdr:colOff>
      <xdr:row>46</xdr:row>
      <xdr:rowOff>36737</xdr:rowOff>
    </xdr:from>
    <xdr:to>
      <xdr:col>30</xdr:col>
      <xdr:colOff>27214</xdr:colOff>
      <xdr:row>70</xdr:row>
      <xdr:rowOff>149678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258535</xdr:colOff>
      <xdr:row>24</xdr:row>
      <xdr:rowOff>104774</xdr:rowOff>
    </xdr:from>
    <xdr:to>
      <xdr:col>31</xdr:col>
      <xdr:colOff>0</xdr:colOff>
      <xdr:row>44</xdr:row>
      <xdr:rowOff>136072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1523999</xdr:colOff>
      <xdr:row>49</xdr:row>
      <xdr:rowOff>50344</xdr:rowOff>
    </xdr:from>
    <xdr:to>
      <xdr:col>6</xdr:col>
      <xdr:colOff>68036</xdr:colOff>
      <xdr:row>77</xdr:row>
      <xdr:rowOff>13608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530677</xdr:colOff>
      <xdr:row>48</xdr:row>
      <xdr:rowOff>145595</xdr:rowOff>
    </xdr:from>
    <xdr:to>
      <xdr:col>28</xdr:col>
      <xdr:colOff>108856</xdr:colOff>
      <xdr:row>72</xdr:row>
      <xdr:rowOff>68034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571499</xdr:colOff>
      <xdr:row>25</xdr:row>
      <xdr:rowOff>15876</xdr:rowOff>
    </xdr:from>
    <xdr:to>
      <xdr:col>36</xdr:col>
      <xdr:colOff>158749</xdr:colOff>
      <xdr:row>42</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1524000</xdr:colOff>
      <xdr:row>50</xdr:row>
      <xdr:rowOff>49211</xdr:rowOff>
    </xdr:from>
    <xdr:to>
      <xdr:col>8</xdr:col>
      <xdr:colOff>15875</xdr:colOff>
      <xdr:row>77</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79375</xdr:colOff>
      <xdr:row>50</xdr:row>
      <xdr:rowOff>33337</xdr:rowOff>
    </xdr:from>
    <xdr:to>
      <xdr:col>38</xdr:col>
      <xdr:colOff>158750</xdr:colOff>
      <xdr:row>77</xdr:row>
      <xdr:rowOff>79375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258536</xdr:colOff>
      <xdr:row>28</xdr:row>
      <xdr:rowOff>145594</xdr:rowOff>
    </xdr:from>
    <xdr:to>
      <xdr:col>24</xdr:col>
      <xdr:colOff>176893</xdr:colOff>
      <xdr:row>47</xdr:row>
      <xdr:rowOff>68035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1496786</xdr:colOff>
      <xdr:row>50</xdr:row>
      <xdr:rowOff>36738</xdr:rowOff>
    </xdr:from>
    <xdr:to>
      <xdr:col>9</xdr:col>
      <xdr:colOff>217714</xdr:colOff>
      <xdr:row>73</xdr:row>
      <xdr:rowOff>27213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50</xdr:row>
      <xdr:rowOff>36737</xdr:rowOff>
    </xdr:from>
    <xdr:to>
      <xdr:col>33</xdr:col>
      <xdr:colOff>13607</xdr:colOff>
      <xdr:row>73</xdr:row>
      <xdr:rowOff>13606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353784</xdr:colOff>
      <xdr:row>30</xdr:row>
      <xdr:rowOff>159203</xdr:rowOff>
    </xdr:from>
    <xdr:to>
      <xdr:col>32</xdr:col>
      <xdr:colOff>190500</xdr:colOff>
      <xdr:row>50</xdr:row>
      <xdr:rowOff>54428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1088571</xdr:colOff>
      <xdr:row>56</xdr:row>
      <xdr:rowOff>131987</xdr:rowOff>
    </xdr:from>
    <xdr:to>
      <xdr:col>9</xdr:col>
      <xdr:colOff>68035</xdr:colOff>
      <xdr:row>82</xdr:row>
      <xdr:rowOff>40822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163286</xdr:colOff>
      <xdr:row>56</xdr:row>
      <xdr:rowOff>131988</xdr:rowOff>
    </xdr:from>
    <xdr:to>
      <xdr:col>32</xdr:col>
      <xdr:colOff>0</xdr:colOff>
      <xdr:row>82</xdr:row>
      <xdr:rowOff>40822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285748</xdr:colOff>
      <xdr:row>16</xdr:row>
      <xdr:rowOff>9523</xdr:rowOff>
    </xdr:from>
    <xdr:to>
      <xdr:col>38</xdr:col>
      <xdr:colOff>27214</xdr:colOff>
      <xdr:row>38</xdr:row>
      <xdr:rowOff>108857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1442356</xdr:colOff>
      <xdr:row>40</xdr:row>
      <xdr:rowOff>159202</xdr:rowOff>
    </xdr:from>
    <xdr:to>
      <xdr:col>7</xdr:col>
      <xdr:colOff>122464</xdr:colOff>
      <xdr:row>67</xdr:row>
      <xdr:rowOff>27214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190499</xdr:colOff>
      <xdr:row>40</xdr:row>
      <xdr:rowOff>131987</xdr:rowOff>
    </xdr:from>
    <xdr:to>
      <xdr:col>32</xdr:col>
      <xdr:colOff>68034</xdr:colOff>
      <xdr:row>67</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504824</xdr:colOff>
      <xdr:row>1</xdr:row>
      <xdr:rowOff>23811</xdr:rowOff>
    </xdr:from>
    <xdr:to>
      <xdr:col>22</xdr:col>
      <xdr:colOff>66674</xdr:colOff>
      <xdr:row>23</xdr:row>
      <xdr:rowOff>95249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18</xdr:row>
      <xdr:rowOff>138112</xdr:rowOff>
    </xdr:from>
    <xdr:to>
      <xdr:col>4</xdr:col>
      <xdr:colOff>447675</xdr:colOff>
      <xdr:row>35</xdr:row>
      <xdr:rowOff>128587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PC%20usu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escritorios.loc\UserDocuments\NOHORA\INFORMACION%202015\METAS%202015%20A%202018\INDICADORES%20SISMEG%202015%20A%202018\Copia%20de%20Copia%20de%20MODELO%20FICHA%20TECNICA%20-%20DNP%20JAIME%20V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Prueba"/>
      <sheetName val="Base Notas"/>
      <sheetName val="Hoja1"/>
    </sheetNames>
    <sheetDataSet>
      <sheetData sheetId="0">
        <row r="2">
          <cell r="C2" t="str">
            <v>51100 Activos y pasivos financieros</v>
          </cell>
        </row>
      </sheetData>
      <sheetData sheetId="1"/>
      <sheetData sheetId="2" refreshError="1">
        <row r="2">
          <cell r="C2" t="str">
            <v>51100 Activos y pasivos financieros</v>
          </cell>
        </row>
        <row r="3">
          <cell r="C3" t="str">
            <v>51210 Patentes</v>
          </cell>
        </row>
        <row r="4">
          <cell r="C4" t="str">
            <v>51220 Marcas registradas</v>
          </cell>
        </row>
        <row r="5">
          <cell r="C5" t="str">
            <v>51230 Derechos de autor</v>
          </cell>
        </row>
        <row r="6">
          <cell r="C6" t="str">
            <v>51290 Otros activos intangibles no financieros</v>
          </cell>
        </row>
        <row r="7">
          <cell r="C7" t="str">
            <v>52100 Terrenos agrícolas, bosques y otros terrenos forestales</v>
          </cell>
        </row>
        <row r="8">
          <cell r="C8" t="str">
            <v>52200 Terrenos edificados y terrenos análogos</v>
          </cell>
        </row>
        <row r="9">
          <cell r="C9" t="str">
            <v>52300 Terrenos para usos recreativos y otros terrenos libres</v>
          </cell>
        </row>
        <row r="10">
          <cell r="C10" t="str">
            <v>52900 Otros terrenos</v>
          </cell>
        </row>
        <row r="11">
          <cell r="C11" t="str">
            <v>53111 Edificios de una o dos viviendas</v>
          </cell>
        </row>
        <row r="12">
          <cell r="C12" t="str">
            <v>53119 Edificios residenciales de tres o más viviendas</v>
          </cell>
        </row>
        <row r="13">
          <cell r="C13" t="str">
            <v>53121 Edificios industriales</v>
          </cell>
        </row>
        <row r="14">
          <cell r="C14" t="str">
            <v>53122 Edificios comerciales</v>
          </cell>
        </row>
        <row r="15">
          <cell r="C15" t="str">
            <v>53129 Otros edificios no residenciales</v>
          </cell>
        </row>
        <row r="16">
          <cell r="C16" t="str">
            <v>53211 Carreteras (excepto carreteras elevadas), calles, caminos</v>
          </cell>
        </row>
        <row r="17">
          <cell r="C17" t="str">
            <v>53212 Vías férreas</v>
          </cell>
        </row>
        <row r="18">
          <cell r="C18" t="str">
            <v>53213 Pistas de aterrizaje</v>
          </cell>
        </row>
        <row r="19">
          <cell r="C19" t="str">
            <v>53221 Puentes y carreteras elevadas</v>
          </cell>
        </row>
        <row r="20">
          <cell r="C20" t="str">
            <v>53222 Túneles y subterráneos</v>
          </cell>
        </row>
        <row r="21">
          <cell r="C21" t="str">
            <v>53231 Acueductos y otros conductos para el suministro de agua, excepto tuberías</v>
          </cell>
        </row>
        <row r="22">
          <cell r="C22" t="str">
            <v>53232 Puertos, vías de navegación, e instalaciones conexas</v>
          </cell>
        </row>
        <row r="23">
          <cell r="C23" t="str">
            <v>53233 Represas</v>
          </cell>
        </row>
        <row r="24">
          <cell r="C24" t="str">
            <v>53234 Obras hidráulicas de irrigación y para la regulación de inundaciones</v>
          </cell>
        </row>
        <row r="25">
          <cell r="C25" t="str">
            <v>53241 Tuberías de gran longitud</v>
          </cell>
        </row>
        <row r="26">
          <cell r="C26" t="str">
            <v>53242 Líneas de comunicación y de energía (cables) de gran longitud</v>
          </cell>
        </row>
        <row r="27">
          <cell r="C27" t="str">
            <v>53251 Tuberías urbanas</v>
          </cell>
        </row>
        <row r="28">
          <cell r="C28" t="str">
            <v>53252 Cables y obras conexas urbanos</v>
          </cell>
        </row>
        <row r="29">
          <cell r="C29" t="str">
            <v>53261 Construcciones para la minería</v>
          </cell>
        </row>
        <row r="30">
          <cell r="C30" t="str">
            <v>53262 Construcciones de centrales generadoras</v>
          </cell>
        </row>
        <row r="31">
          <cell r="C31" t="str">
            <v>53263 Construcciones de instalaciones químicas y afines</v>
          </cell>
        </row>
        <row r="32">
          <cell r="C32" t="str">
            <v>53269 Otras construcciones para la manufactura</v>
          </cell>
        </row>
        <row r="33">
          <cell r="C33" t="str">
            <v>53270 Instalaciones al aire libre para deportes y esparcimiento</v>
          </cell>
        </row>
        <row r="34">
          <cell r="C34" t="str">
            <v>53290 Otras obras de ingeniería civil</v>
          </cell>
        </row>
        <row r="35">
          <cell r="C35" t="str">
            <v>54 Servicios de construcción</v>
          </cell>
        </row>
        <row r="36">
          <cell r="C36" t="str">
            <v>54112 Servicios generales de construcción de edificios de tres o más viviendas</v>
          </cell>
        </row>
        <row r="37">
          <cell r="C37" t="str">
            <v>54121 Servicios generales de construcción de edificios industriales</v>
          </cell>
        </row>
        <row r="38">
          <cell r="C38" t="str">
            <v>54122 Servicios generales de construcción de edificios comerciales</v>
          </cell>
        </row>
        <row r="39">
          <cell r="C39" t="str">
            <v>54129 Servicios generales de construcción de otros edificios no residenciales</v>
          </cell>
        </row>
        <row r="40">
          <cell r="C40" t="str">
            <v>54210 Servicios generales de construcción de carreteras (excepto carreteras elevadas), calles, caminos, vías férreas y pistas de aterrizaje en aeropuertos</v>
          </cell>
        </row>
        <row r="41">
          <cell r="C41" t="str">
            <v>54220 Servicios generales de construcción de puentes, carreteras elevadas, túneles y subterráneos</v>
          </cell>
        </row>
        <row r="42">
          <cell r="C42" t="str">
            <v>54230 Servicios generales de construcción de puertos, vías de navegación, represas, y otras obras hidráulicas y de irrigación</v>
          </cell>
        </row>
        <row r="43">
          <cell r="C43" t="str">
            <v>54241 Servicios generales de construcción de tuberías de gran longitud</v>
          </cell>
        </row>
        <row r="44">
          <cell r="C44" t="str">
            <v>54242 Servicios generales de construcción de líneas de comunicación y de energía (cables) de gran longitud</v>
          </cell>
        </row>
        <row r="45">
          <cell r="C45" t="str">
            <v>54251 Servicios generales de construcción de tuberías urbanas</v>
          </cell>
        </row>
        <row r="46">
          <cell r="C46" t="str">
            <v>54252 Servicios generales de construcción para cables y obras afines urbanos</v>
          </cell>
        </row>
        <row r="47">
          <cell r="C47" t="str">
            <v>54260 Servicios generales de construcción de minas y plantas industriales</v>
          </cell>
        </row>
        <row r="48">
          <cell r="C48" t="str">
            <v>54270 Servicios generales de construcción de instalaciones al aire libre para deportes y esparcimiento</v>
          </cell>
        </row>
        <row r="49">
          <cell r="C49" t="str">
            <v>54290 Servicios generales de construcción de otras obras de ingeniería n.c.p.</v>
          </cell>
        </row>
        <row r="50">
          <cell r="C50" t="str">
            <v>54310 Servicios de demolición</v>
          </cell>
        </row>
        <row r="51">
          <cell r="C51" t="str">
            <v>54320 Servicios de relleno y desmonte de terrenos</v>
          </cell>
        </row>
        <row r="52">
          <cell r="C52" t="str">
            <v>54330 Servicios de excavación y movimiento de tierras</v>
          </cell>
        </row>
        <row r="53">
          <cell r="C53" t="str">
            <v>54341 Servicios de perforación de pozos de agua</v>
          </cell>
        </row>
        <row r="54">
          <cell r="C54" t="str">
            <v>54400 Montaje e instalación de construcciones prefabricadas</v>
          </cell>
        </row>
        <row r="55">
          <cell r="C55" t="str">
            <v>54512 Servicios de cimentación</v>
          </cell>
        </row>
        <row r="56">
          <cell r="C56" t="str">
            <v>54522 Servicios de estructuración de techos</v>
          </cell>
        </row>
        <row r="57">
          <cell r="C57" t="str">
            <v>54530 Servicios de techado e impermeabilización de techos</v>
          </cell>
        </row>
        <row r="58">
          <cell r="C58" t="str">
            <v>54540 Servicios de trabajos con hormigón</v>
          </cell>
        </row>
        <row r="59">
          <cell r="C59" t="str">
            <v>54550 Servicios de instalación de estructuras de acero</v>
          </cell>
        </row>
        <row r="60">
          <cell r="C60" t="str">
            <v>54560 Servicios de albañilería</v>
          </cell>
        </row>
        <row r="61">
          <cell r="C61" t="str">
            <v>54570 Servicios de instalación de andamios</v>
          </cell>
        </row>
        <row r="62">
          <cell r="C62" t="str">
            <v>54590 Otros servicios de construcción comercial especializados</v>
          </cell>
        </row>
        <row r="63">
          <cell r="C63" t="str">
            <v>54611 Servicios de instalación de cables y otros dispositivos eléctricos</v>
          </cell>
        </row>
        <row r="64">
          <cell r="C64" t="str">
            <v>54612 Servicios de instalación de equipos de alarma contra incendios</v>
          </cell>
        </row>
        <row r="65">
          <cell r="C65" t="str">
            <v>54613 Servicios de instalación de sistemas de alarma antirrobo</v>
          </cell>
        </row>
        <row r="66">
          <cell r="C66" t="str">
            <v>54614 Servicios de instalación de antenas para edificios residenciales</v>
          </cell>
        </row>
        <row r="67">
          <cell r="C67" t="str">
            <v>54619 Otros servicios de instalación eléctrica</v>
          </cell>
        </row>
        <row r="68">
          <cell r="C68" t="str">
            <v>54621 Servicios de fontanería de agua</v>
          </cell>
        </row>
        <row r="69">
          <cell r="C69" t="str">
            <v>54631 Servicios de instalación de calefacción</v>
          </cell>
        </row>
        <row r="70">
          <cell r="C70" t="str">
            <v>54632 Servicios de instalación de ventilación y acondicionamiento de aire</v>
          </cell>
        </row>
        <row r="71">
          <cell r="C71" t="str">
            <v>54640 Servicios de instalación de aparatos de gas</v>
          </cell>
        </row>
        <row r="72">
          <cell r="C72" t="str">
            <v>54650 Servicios de aislamiento</v>
          </cell>
        </row>
        <row r="73">
          <cell r="C73" t="str">
            <v>54691 Servicios de instalación de ascensores y escaleras mecánicas</v>
          </cell>
        </row>
        <row r="74">
          <cell r="C74" t="str">
            <v>54699 Otros servicios de instalación n.c.p.</v>
          </cell>
        </row>
        <row r="75">
          <cell r="C75" t="str">
            <v>54710 Servicios de instalación de vidrios y ventanas</v>
          </cell>
        </row>
        <row r="76">
          <cell r="C76" t="str">
            <v>54720 Servicios de enyesado</v>
          </cell>
        </row>
        <row r="77">
          <cell r="C77" t="str">
            <v>54730 Servicios de pintura</v>
          </cell>
        </row>
        <row r="78">
          <cell r="C78" t="str">
            <v>54740 Servicios de colocación de azulejos y baldosas</v>
          </cell>
        </row>
        <row r="79">
          <cell r="C79" t="str">
            <v>54750 Otros servicios de solado, revestimiento de paredes y empapelado</v>
          </cell>
        </row>
        <row r="80">
          <cell r="C80" t="str">
            <v>54760 Servicios de carpintería de madera y carpintería metálica</v>
          </cell>
        </row>
        <row r="81">
          <cell r="C81" t="str">
            <v>54770 Servicios de construcción de cercas y rejas</v>
          </cell>
        </row>
        <row r="82">
          <cell r="C82" t="str">
            <v>54790 Otros servicios de acabado y finalización de edificios</v>
          </cell>
        </row>
        <row r="83">
          <cell r="C83" t="str">
            <v>54800 Servicios de alquiler de equipo para la construcción o demolición de edificios o para obras de ingeniería civil con operarios</v>
          </cell>
        </row>
        <row r="84">
          <cell r="C84" t="str">
            <v>611 Servicios comerciales al por mayor, excepto los prestados a comisión o por contrato</v>
          </cell>
        </row>
        <row r="85">
          <cell r="C85" t="str">
            <v>612 Servicios comerciales al por mayor prestados a comisión o por contrato</v>
          </cell>
        </row>
        <row r="86">
          <cell r="C86" t="str">
            <v>621 Servicios comerciales al por menor en tiendas no especializadas</v>
          </cell>
        </row>
        <row r="87">
          <cell r="C87" t="str">
            <v>622 Servicios comerciales al por menor en tiendas especializadas</v>
          </cell>
        </row>
        <row r="88">
          <cell r="C88" t="str">
            <v>623 Servicios comerciales al por menor por pedido postal</v>
          </cell>
        </row>
        <row r="89">
          <cell r="C89" t="str">
            <v>624 Otros servicios comerciales al por menor sin intervención de tiendas de venta</v>
          </cell>
        </row>
        <row r="90">
          <cell r="C90" t="str">
            <v>625 Servicios comerciales al por menor a comisión o por contrato</v>
          </cell>
        </row>
        <row r="91">
          <cell r="C91" t="str">
            <v>63110 Servicios de alojamiento en hoteles y moteles</v>
          </cell>
        </row>
        <row r="92">
          <cell r="C92" t="str">
            <v>63191 Servicios de centros de vacaciones y hogares de vacaciones</v>
          </cell>
        </row>
        <row r="93">
          <cell r="C93" t="str">
            <v>63192 Servicios de arrendamiento de alojamientos amueblados</v>
          </cell>
        </row>
        <row r="94">
          <cell r="C94" t="str">
            <v>63193 Servicios de albergues juveniles</v>
          </cell>
        </row>
        <row r="95">
          <cell r="C95" t="str">
            <v>63194 Servicios de centros de entrenamiento y vacaciones para niños</v>
          </cell>
        </row>
        <row r="96">
          <cell r="C96" t="str">
            <v>63195 Servicios para acampantes y campamentos para remolques y vehículos de recreo</v>
          </cell>
        </row>
        <row r="97">
          <cell r="C97" t="str">
            <v>63199 Otros servicios de alojamiento n.c.p.</v>
          </cell>
        </row>
        <row r="98">
          <cell r="C98" t="str">
            <v>63210 Servicios de suministro de comida con servicios completos de restaurante</v>
          </cell>
        </row>
        <row r="99">
          <cell r="C99" t="str">
            <v>63220 Servicios de suministro de comida en establecimientos de autoservicio</v>
          </cell>
        </row>
        <row r="100">
          <cell r="C100" t="str">
            <v>63230 Servicios de comidas por encargo suministradas al exterior</v>
          </cell>
        </row>
        <row r="101">
          <cell r="C101" t="str">
            <v>63290 Otros servicios de suministro de comida</v>
          </cell>
        </row>
        <row r="102">
          <cell r="C102" t="str">
            <v>63300 Servicios de suministro de bebidas para su consumo en el local</v>
          </cell>
        </row>
        <row r="103">
          <cell r="C103" t="str">
            <v>64111 Servicios interurbanos de transporte de pasajeros por vía férrea</v>
          </cell>
        </row>
        <row r="104">
          <cell r="C104" t="str">
            <v>64112 Servicios urbanos y suburbanos de transporte de pasajeros por vía férrea</v>
          </cell>
        </row>
        <row r="105">
          <cell r="C105" t="str">
            <v>64121 Servicios de transporte de carga por vía férrea en vagones refrigerados</v>
          </cell>
        </row>
        <row r="106">
          <cell r="C106" t="str">
            <v>64122 Servicios de transporte de carga por vía férrea en vagones cisterna</v>
          </cell>
        </row>
        <row r="107">
          <cell r="C107" t="str">
            <v>64123 Servicios de transporte de carga por vía férrea en contenedores colocados en vagones especiales</v>
          </cell>
        </row>
        <row r="108">
          <cell r="C108" t="str">
            <v>64124 Servicios de transporte de correspondencia por vía férrea en vagones postales</v>
          </cell>
        </row>
        <row r="109">
          <cell r="C109" t="str">
            <v>64129 Otros servicios de transporte de carga por vía férrea</v>
          </cell>
        </row>
        <row r="110">
          <cell r="C110" t="str">
            <v>64130 Servicios de tracción o remolque por vía férrea</v>
          </cell>
        </row>
        <row r="111">
          <cell r="C111" t="str">
            <v>64211 Servicios regulares urbanos y suburbanos de transporte de pasajeros por carretera</v>
          </cell>
        </row>
        <row r="112">
          <cell r="C112" t="str">
            <v>64212 Servicios especiales urbanos y suburbanos regulares de transporte de pasajeros por carretera</v>
          </cell>
        </row>
        <row r="113">
          <cell r="C113" t="str">
            <v>64213 Servicios regulares interurbanos de transporte de pasajeros por carretera</v>
          </cell>
        </row>
        <row r="114">
          <cell r="C114" t="str">
            <v>64214 Servicios regulares especiales de transporte interurbano de pasajeros por carretera</v>
          </cell>
        </row>
        <row r="115">
          <cell r="C115" t="str">
            <v>64219 Otros servicios regulares de transporte de pasajeros por carretera n.c.p.</v>
          </cell>
        </row>
        <row r="116">
          <cell r="C116" t="str">
            <v>64221 Servicios de taxímetros</v>
          </cell>
        </row>
        <row r="117">
          <cell r="C117" t="str">
            <v>64222 Servicios de alquiler de automóviles particulares con conductor</v>
          </cell>
        </row>
        <row r="118">
          <cell r="C118" t="str">
            <v>64223 Servicios de alquiler de autobuses y autocares con conductor</v>
          </cell>
        </row>
        <row r="119">
          <cell r="C119" t="str">
            <v>64224 Servicios de transporte de pasajeros por carretera en vehículos de tracción humana o animal</v>
          </cell>
        </row>
        <row r="120">
          <cell r="C120" t="str">
            <v>64229 Otros servicios no regulares de transporte de pasajeros por carretera n.c.p.</v>
          </cell>
        </row>
        <row r="121">
          <cell r="C121" t="str">
            <v>64231 Servicios de transporte de carga por carretera en vehículos refrigerados</v>
          </cell>
        </row>
        <row r="122">
          <cell r="C122" t="str">
            <v>64232 Servicios de transporte de carga por carretera en camiones cisterna o en camiones cisterna con remolque</v>
          </cell>
        </row>
        <row r="123">
          <cell r="C123" t="str">
            <v>64233 Servicios de transporte de contenedores de carga por carretera en camiones equipados con una plataforma para el transporte de contenedores</v>
          </cell>
        </row>
        <row r="124">
          <cell r="C124" t="str">
            <v>64235 Servicios de transporte de mobiliario doméstico y de oficina y de otros artículos</v>
          </cell>
        </row>
        <row r="125">
          <cell r="C125" t="str">
            <v>64236 Servicios de transporte de correspondencia por carretera en vehículos postales</v>
          </cell>
        </row>
        <row r="126">
          <cell r="C126" t="str">
            <v>64239 Otros servicios de transporte de carga por carretera</v>
          </cell>
        </row>
        <row r="127">
          <cell r="C127" t="str">
            <v>64240 Servicios de entrega urbana diversos</v>
          </cell>
        </row>
        <row r="128">
          <cell r="C128" t="str">
            <v>64250 Servicios de alquiler de camiones con conductor</v>
          </cell>
        </row>
        <row r="129">
          <cell r="C129" t="str">
            <v>64310 Servicios de transporte de petróleo y gas natural por oleoducto o gasoducto</v>
          </cell>
        </row>
        <row r="130">
          <cell r="C130" t="str">
            <v>64390 Servicios de transporte de otros productos por tubería</v>
          </cell>
        </row>
        <row r="131">
          <cell r="C131" t="str">
            <v>65111 Servicios de transporte de pasajeros en transbordadores de cabotaje y transoceánicos</v>
          </cell>
        </row>
        <row r="132">
          <cell r="C132" t="str">
            <v>65119 Otros servicios de transporte de pasajeros en embarcaciones de cabotaje y transoceánicas</v>
          </cell>
        </row>
        <row r="133">
          <cell r="C133" t="str">
            <v>65121 Servicios de transporte de carga congelada o refrigerada en embarcaciones de cabotaje y transoceánicas refrigeradas</v>
          </cell>
        </row>
        <row r="134">
          <cell r="C134" t="str">
            <v>65122 Servicios de transporte de carga líquida a granel en buques cisterna de cabotaje y transoceánicos</v>
          </cell>
        </row>
        <row r="135">
          <cell r="C135" t="str">
            <v>65123 Servicios de transporte de contenedores de carga en embarcaciones de cabotaje y transoceánicas para el transporte de contenedores</v>
          </cell>
        </row>
        <row r="136">
          <cell r="C136" t="str">
            <v>65129 Otros servicios de transporte de carga en embarcaciones de cabotaje y transoceánicas</v>
          </cell>
        </row>
        <row r="137">
          <cell r="C137" t="str">
            <v>65130 Servicios de alquiler de embarcaciones de cabotaje y transoceánicas con tripulación</v>
          </cell>
        </row>
        <row r="138">
          <cell r="C138" t="str">
            <v>65140 Servicios de remolque y tracción de embarcaciones de cabotaje y transoceánicas</v>
          </cell>
        </row>
        <row r="139">
          <cell r="C139" t="str">
            <v>65211 Servicios de transporte de pasajeros en transbordadores por vías de navegación interior</v>
          </cell>
        </row>
        <row r="140">
          <cell r="C140" t="str">
            <v>65219 Otros servicios de transporte de pasajeros por vías de navegación interior</v>
          </cell>
        </row>
        <row r="141">
          <cell r="C141" t="str">
            <v>65221 Servicios de transporte de carga por vías de navegación interior en embarcaciones refrigeradas</v>
          </cell>
        </row>
        <row r="142">
          <cell r="C142" t="str">
            <v>65222 Servicios de transporte de carga por vías de navegación interior en buques cisterna</v>
          </cell>
        </row>
        <row r="143">
          <cell r="C143" t="str">
            <v>65229 Otros servicios de transporte de carga por vías de navegación interior</v>
          </cell>
        </row>
        <row r="144">
          <cell r="C144" t="str">
            <v>65230 Servicios de alquiler de embarcaciones con tripulación para el transporte por vías de navegación interior</v>
          </cell>
        </row>
        <row r="145">
          <cell r="C145" t="str">
            <v>65240 Servicios de remolque y tracción en vías de navegación interior</v>
          </cell>
        </row>
        <row r="146">
          <cell r="C146" t="str">
            <v>66110 Servicios de transporte de pasajeros por líneas aéreas de servicio regular</v>
          </cell>
        </row>
        <row r="147">
          <cell r="C147" t="str">
            <v>66120 Servicios de transporte de pasajeros por líneas aéreas de servicio no regular</v>
          </cell>
        </row>
        <row r="148">
          <cell r="C148" t="str">
            <v>66210 Servicios de transporte de correspondencia por vía aérea</v>
          </cell>
        </row>
        <row r="149">
          <cell r="C149" t="str">
            <v>66290 Servicios de transporte de otros tipos de carga por vía aérea</v>
          </cell>
        </row>
        <row r="150">
          <cell r="C150" t="str">
            <v>66300 Servicios de transporte por vía espacial</v>
          </cell>
        </row>
        <row r="151">
          <cell r="C151" t="str">
            <v>66400 Servicios de alquiler de aeronaves con tripulación</v>
          </cell>
        </row>
        <row r="152">
          <cell r="C152" t="str">
            <v>67110 Servicios de carga y descarga de contenedores</v>
          </cell>
        </row>
        <row r="153">
          <cell r="C153" t="str">
            <v>67190 Otros servicios de carga y descarga</v>
          </cell>
        </row>
        <row r="154">
          <cell r="C154" t="str">
            <v>67210 Servicios de almacenamiento de productos congelados o refrigerados</v>
          </cell>
        </row>
        <row r="155">
          <cell r="C155" t="str">
            <v>67220 Servicios de almacenamiento de gases o líquidos a granel</v>
          </cell>
        </row>
        <row r="156">
          <cell r="C156" t="str">
            <v>67290 Otros servicios de almacenamiento</v>
          </cell>
        </row>
        <row r="157">
          <cell r="C157" t="str">
            <v>67300 Servicios de ayuda a la navegación</v>
          </cell>
        </row>
        <row r="158">
          <cell r="C158" t="str">
            <v>67400 Servicios auxiliares del transporte por vía férrea</v>
          </cell>
        </row>
        <row r="159">
          <cell r="C159" t="str">
            <v>67510 Servicios de estaciones de autobuses</v>
          </cell>
        </row>
        <row r="160">
          <cell r="C160" t="str">
            <v>67520 Servicios de explotación de carreteras, puentes y túneles</v>
          </cell>
        </row>
        <row r="161">
          <cell r="C161" t="str">
            <v>67530 Servicios de estacionamiento</v>
          </cell>
        </row>
        <row r="162">
          <cell r="C162" t="str">
            <v>67590 Otros servicios auxiliares del transporte por carretera</v>
          </cell>
        </row>
        <row r="163">
          <cell r="C163" t="str">
            <v>67610 Servicios de explotación de puertos y vías de navegación (con exclusión de carga y descarga)</v>
          </cell>
        </row>
        <row r="164">
          <cell r="C164" t="str">
            <v>67620 Servicios de practicaje y atraque</v>
          </cell>
        </row>
        <row r="165">
          <cell r="C165" t="str">
            <v>67630 Servicios de salvamento y reflotación de embarcaciones</v>
          </cell>
        </row>
        <row r="166">
          <cell r="C166" t="str">
            <v>67690 Otros servicios auxiliares del transporte por vía acuática</v>
          </cell>
        </row>
        <row r="167">
          <cell r="C167" t="str">
            <v>67710 Servicios de explotación de aeropuertos (con exclusión de carga y descarga)</v>
          </cell>
        </row>
        <row r="168">
          <cell r="C168" t="str">
            <v>67720 Servicios de control del tráfico aéreo</v>
          </cell>
        </row>
        <row r="169">
          <cell r="C169" t="str">
            <v>67790 Otros servicios auxiliares del transporte por vía aérea o espacial</v>
          </cell>
        </row>
        <row r="170">
          <cell r="C170" t="str">
            <v>67811 Servicios de agencias de viaje</v>
          </cell>
        </row>
        <row r="171">
          <cell r="C171" t="str">
            <v>67812 Servicios de organización de viajes en grupo</v>
          </cell>
        </row>
        <row r="172">
          <cell r="C172" t="str">
            <v>67813 Servicios de información turística</v>
          </cell>
        </row>
        <row r="173">
          <cell r="C173" t="str">
            <v>67820 Servicios de guías de turismo</v>
          </cell>
        </row>
        <row r="174">
          <cell r="C174" t="str">
            <v>67910 Servicios de agencias de transporte de carga y otros servicios auxiliares del transporte de carga</v>
          </cell>
        </row>
        <row r="175">
          <cell r="C175" t="str">
            <v>67990 Otros servicios auxiliares de transporte n.c.p.</v>
          </cell>
        </row>
        <row r="176">
          <cell r="C176" t="str">
            <v>68111 Servicios postales: cartas</v>
          </cell>
        </row>
        <row r="177">
          <cell r="C177" t="str">
            <v>68112 Servicios postales: paquetes</v>
          </cell>
        </row>
        <row r="178">
          <cell r="C178" t="str">
            <v>68113 Servicios de atención al público en correos</v>
          </cell>
        </row>
        <row r="179">
          <cell r="C179" t="str">
            <v>68119 Otros servicios postales</v>
          </cell>
        </row>
        <row r="180">
          <cell r="C180" t="str">
            <v>68120 Servicios de mensajería</v>
          </cell>
        </row>
        <row r="181">
          <cell r="C181" t="str">
            <v>69110 Servicios de transmisión y distribución de electricidad</v>
          </cell>
        </row>
        <row r="182">
          <cell r="C182" t="str">
            <v>69120 Servicios de distribución de gas por tubería</v>
          </cell>
        </row>
        <row r="183">
          <cell r="C183" t="str">
            <v>69210 Servicios de distribución de agua por tubería, excepto vapor y agua caliente</v>
          </cell>
        </row>
        <row r="184">
          <cell r="C184" t="str">
            <v>69220 Servicios de distribución de vapor y agua caliente por tubería</v>
          </cell>
        </row>
        <row r="185">
          <cell r="C185" t="str">
            <v>71100 Servicios de intermediación financiera, con excepción de servicios bancarios de inversión, servicios de seguros y servicios de pensiones</v>
          </cell>
        </row>
        <row r="186">
          <cell r="C186" t="str">
            <v>71200 Servicios bancarios de inversión</v>
          </cell>
        </row>
        <row r="187">
          <cell r="C187" t="str">
            <v>71311 Servicios de seguros de vida y de pensiones individuales</v>
          </cell>
        </row>
        <row r="188">
          <cell r="C188" t="str">
            <v>71312 Servicios de pensiones colectivas</v>
          </cell>
        </row>
        <row r="189">
          <cell r="C189" t="str">
            <v>71320 Servicios de seguros de enfermedad y de accidentes</v>
          </cell>
        </row>
        <row r="190">
          <cell r="C190" t="str">
            <v>71331 Servicios de seguros de vehículos de motor</v>
          </cell>
        </row>
        <row r="191">
          <cell r="C191" t="str">
            <v>71332 Servicios de seguros de transporte marítimo, transporte aéreo y otros tipos de transporte</v>
          </cell>
        </row>
        <row r="192">
          <cell r="C192" t="str">
            <v>71333 Servicios de seguros de flete</v>
          </cell>
        </row>
        <row r="193">
          <cell r="C193" t="str">
            <v>71334 Otros servicios de seguros contra daños a los bienes</v>
          </cell>
        </row>
        <row r="194">
          <cell r="C194" t="str">
            <v>71335 Servicios de seguros de responsabilidad civil general</v>
          </cell>
        </row>
        <row r="195">
          <cell r="C195" t="str">
            <v>71336 Servicios de seguros de créditos y fianzas</v>
          </cell>
        </row>
        <row r="196">
          <cell r="C196" t="str">
            <v>71339 Otros servicios de seguros distintos de los seguros de vida</v>
          </cell>
        </row>
        <row r="197">
          <cell r="C197" t="str">
            <v>714 Servicios de reaseguro</v>
          </cell>
        </row>
        <row r="198">
          <cell r="C198" t="str">
            <v>71511 Servicios relacionados con fusiones y adquisiciones</v>
          </cell>
        </row>
        <row r="199">
          <cell r="C199" t="str">
            <v>71512 Servicios relacionados con finanzas de sociedades y capital de riesgo</v>
          </cell>
        </row>
        <row r="200">
          <cell r="C200" t="str">
            <v>71519 Otros servicios bancarios de inversión</v>
          </cell>
        </row>
        <row r="201">
          <cell r="C201" t="str">
            <v>71521 Servicios de corretaje de valores</v>
          </cell>
        </row>
        <row r="202">
          <cell r="C202" t="str">
            <v>71522 Servicios de corretaje de productos</v>
          </cell>
        </row>
        <row r="203">
          <cell r="C203" t="str">
            <v>71523 Servicios de tramitación y compensación de transacciones de valores</v>
          </cell>
        </row>
        <row r="204">
          <cell r="C204" t="str">
            <v>71531 Servicios de administración de carteras</v>
          </cell>
        </row>
        <row r="205">
          <cell r="C205" t="str">
            <v>71532 Servicios fiduciarios</v>
          </cell>
        </row>
        <row r="206">
          <cell r="C206" t="str">
            <v>71533 Servicios de custodia</v>
          </cell>
        </row>
        <row r="207">
          <cell r="C207" t="str">
            <v>71541 Servicios de explotación de mercados financieros</v>
          </cell>
        </row>
        <row r="208">
          <cell r="C208" t="str">
            <v>71542 Servicios de regulación de mercados financieros</v>
          </cell>
        </row>
        <row r="209">
          <cell r="C209" t="str">
            <v>71549 Otros servicios de administración de mercados financieros</v>
          </cell>
        </row>
        <row r="210">
          <cell r="C210" t="str">
            <v>71551 Servicios de consultoría financiera</v>
          </cell>
        </row>
        <row r="211">
          <cell r="C211" t="str">
            <v>71552 Servicios de cambio de divisas</v>
          </cell>
        </row>
        <row r="212">
          <cell r="C212" t="str">
            <v>71553 Servicios de tramitación y compensación de transacciones financieras</v>
          </cell>
        </row>
        <row r="213">
          <cell r="C213" t="str">
            <v>71559 Otros servicios auxiliares de la intermediación financiera n.c.p.</v>
          </cell>
        </row>
        <row r="214">
          <cell r="C214" t="str">
            <v>71610 Servicios de corretaje y de agencias de seguros</v>
          </cell>
        </row>
        <row r="215">
          <cell r="C215" t="str">
            <v>71620 Servicios de tasación de las reclamaciones al seguro</v>
          </cell>
        </row>
        <row r="216">
          <cell r="C216" t="str">
            <v>71630 Servicios actuariales</v>
          </cell>
        </row>
        <row r="217">
          <cell r="C217" t="str">
            <v>71690 Otros servicios auxiliares de seguros y de pensiones</v>
          </cell>
        </row>
        <row r="218">
          <cell r="C218" t="str">
            <v>72111 Servicios de arrendamiento con o sin opción de compra de bienes raíces residenciales propios o arrendados</v>
          </cell>
        </row>
        <row r="219">
          <cell r="C219" t="str">
            <v>72112 Servicios de arrendamiento con o sin opción de compra de bienes raíces no residenciales propios o arrendados</v>
          </cell>
        </row>
        <row r="220">
          <cell r="C220" t="str">
            <v>72121 Servicios comerciales relacionados con edificios residenciales y terrenos conexos</v>
          </cell>
        </row>
        <row r="221">
          <cell r="C221" t="str">
            <v>72122 Servicios comerciales relacionados con edificios no residenciales y terrenos conexos</v>
          </cell>
        </row>
        <row r="222">
          <cell r="C222" t="str">
            <v>72130 Servicios comerciales relacionados con terrenos desocupados y subdivididos</v>
          </cell>
        </row>
        <row r="223">
          <cell r="C223" t="str">
            <v>72211 Servicios de administración de bienes raíces residenciales a comisión o por contrato</v>
          </cell>
        </row>
        <row r="224">
          <cell r="C224" t="str">
            <v>72212 Servicios de administración de bienes raíces no residenciales a comisión o por contrato</v>
          </cell>
        </row>
        <row r="225">
          <cell r="C225" t="str">
            <v>72221 Ventas de edificios residenciales y terrenos conexos a comisión o por contrato</v>
          </cell>
        </row>
        <row r="226">
          <cell r="C226" t="str">
            <v>72222 Ventas de edificios no residenciales y terrenos conexos a comisión o por contrato</v>
          </cell>
        </row>
        <row r="227">
          <cell r="C227" t="str">
            <v>72230 Ventas de terrenos a comisión o por contrato</v>
          </cell>
        </row>
        <row r="228">
          <cell r="C228" t="str">
            <v>73 Servicios de arrendamiento con o sin opción de compra sin operarios</v>
          </cell>
        </row>
        <row r="229">
          <cell r="C229" t="str">
            <v>73111 Servicios de arrendamiento con o sin opción de compra de automóviles particulares y camionetas sin conductor</v>
          </cell>
        </row>
        <row r="230">
          <cell r="C230" t="str">
            <v>73112 Servicios de arrendamiento con o sin opción de compra de vehículos de motor sin conductor para el transporte de mercancías</v>
          </cell>
        </row>
        <row r="231">
          <cell r="C231" t="str">
            <v>73114 Servicios de arrendamiento con o sin opción de compra de otro tipo de transporte por tierra sin conductor</v>
          </cell>
        </row>
        <row r="232">
          <cell r="C232" t="str">
            <v>73115 Servicios de arrendamiento con o sin opción de compra de buques sin tripulación</v>
          </cell>
        </row>
        <row r="233">
          <cell r="C233" t="str">
            <v>73116 Servicios de arrendamiento con o sin opción de compra de aeronaves sin tripulación</v>
          </cell>
        </row>
        <row r="234">
          <cell r="C234" t="str">
            <v>73121 Servicios de arrendamiento con o sin opción de compra de maquinaria y equipo agrícola sin operarios</v>
          </cell>
        </row>
        <row r="235">
          <cell r="C235" t="str">
            <v>73122 Servicios de arrendamiento con o sin opción de compra de maquinaria y equipo de construcción sin operarios</v>
          </cell>
        </row>
        <row r="236">
          <cell r="C236" t="str">
            <v>73123 Servicios de arrendamiento con o sin opción de compra de maquinaria y equipo de oficina (excepto computadoras) sin operarios</v>
          </cell>
        </row>
        <row r="237">
          <cell r="C237" t="str">
            <v>73124 Servicios de arrendamiento con o sin opción de compra de computadoras sin operarios</v>
          </cell>
        </row>
        <row r="238">
          <cell r="C238" t="str">
            <v>73125 Servicios de arrendamiento con o sin opción de compra de equipo de telecomunicaciones sin operarios</v>
          </cell>
        </row>
        <row r="239">
          <cell r="C239" t="str">
            <v>73129 Servicios de arrendamiento con o sin opción de compra de otro tipo de maquinaria y equipo sin operarios n.c.p.</v>
          </cell>
        </row>
        <row r="240">
          <cell r="C240" t="str">
            <v>73210 Servicios de arrendamiento con o sin opción de compra de televisores, radios, grabadores de vídeo y equipo y accesorios conexos</v>
          </cell>
        </row>
        <row r="241">
          <cell r="C241" t="str">
            <v>73220 Servicios de arrendamiento con o sin opción de compra de cintas de vídeo</v>
          </cell>
        </row>
        <row r="242">
          <cell r="C242" t="str">
            <v>73230 Servicios de arrendamiento con o sin opción de compra de muebles y otros aparatos domésticos</v>
          </cell>
        </row>
        <row r="243">
          <cell r="C243" t="str">
            <v>73240 Servicios de arrendamiento con o sin opción de compra de equipo de recreación y esparcimiento</v>
          </cell>
        </row>
        <row r="244">
          <cell r="C244" t="str">
            <v>73270 Servicios de arrendamiento con o sin opción de compra de maquinaria y equipo de bricolaje</v>
          </cell>
        </row>
        <row r="245">
          <cell r="C245" t="str">
            <v>73290 Servicios de arrendamiento con o sin opción de compra de otros artículos n.c.p.</v>
          </cell>
        </row>
        <row r="246">
          <cell r="C246" t="str">
            <v>733 Concesión de licencias para el derecho de uso de activos intangibles</v>
          </cell>
        </row>
        <row r="247">
          <cell r="C247" t="str">
            <v>73310 Concesión de licencias para el derecho de uso de derechos patentados</v>
          </cell>
        </row>
        <row r="248">
          <cell r="C248" t="str">
            <v>73320 Concesión de licencias para el derecho de uso de marcas registradas</v>
          </cell>
        </row>
        <row r="249">
          <cell r="C249" t="str">
            <v>73330 Concesión de licencias para el derecho de uso de concesiones</v>
          </cell>
        </row>
        <row r="250">
          <cell r="C250" t="str">
            <v>73340 Concesión de licencias para el derecho de uso de obras sujetas a derechos de autor</v>
          </cell>
        </row>
        <row r="251">
          <cell r="C251" t="str">
            <v>73390 Concesión de licencias para el derecho de uso de otros activos intangibles</v>
          </cell>
        </row>
        <row r="252">
          <cell r="C252" t="str">
            <v>81110 Servicios de investigación y desarrollo experimental en ciencias físicas</v>
          </cell>
        </row>
        <row r="253">
          <cell r="C253" t="str">
            <v>81120 Servicios de investigación y desarrollo experimental en química y biología</v>
          </cell>
        </row>
        <row r="254">
          <cell r="C254" t="str">
            <v>81130 Servicios de investigación y desarrollo experimental en ingeniería y tecnología</v>
          </cell>
        </row>
        <row r="255">
          <cell r="C255" t="str">
            <v>81140 Servicios de investigación y desarrollo experimental en ciencias agrícolas</v>
          </cell>
        </row>
        <row r="256">
          <cell r="C256" t="str">
            <v>81150 Servicios de investigación y desarrollo experimental en ciencias médicas y farmacia</v>
          </cell>
        </row>
        <row r="257">
          <cell r="C257" t="str">
            <v>81190 Servicios de investigación y desarrollo experimental en otras ciencias naturales</v>
          </cell>
        </row>
        <row r="258">
          <cell r="C258" t="str">
            <v>81210 Servicios de investigación y desarrollo experimental en ciencias culturales, sociología y psicología</v>
          </cell>
        </row>
        <row r="259">
          <cell r="C259" t="str">
            <v>81220 Servicios de investigación y desarrollo experimental en ciencias económicas</v>
          </cell>
        </row>
        <row r="260">
          <cell r="C260" t="str">
            <v>81230 Servicios de investigación y desarrollo experimental en derecho</v>
          </cell>
        </row>
        <row r="261">
          <cell r="C261" t="str">
            <v>81240 Servicios de investigación y desarrollo experimental en lingüística e idiomas</v>
          </cell>
        </row>
        <row r="262">
          <cell r="C262" t="str">
            <v>81290 Servicios de investigación y desarrollo experimental en otras ciencias sociales y humanidades</v>
          </cell>
        </row>
        <row r="263">
          <cell r="C263" t="str">
            <v>82111 Servicios de asesoramiento y representación jurídicos en derecho penal</v>
          </cell>
        </row>
        <row r="264">
          <cell r="C264" t="str">
            <v>82119 Servicios de asesoramiento y representación jurídicos en procedimientos judiciales relativos a otras esferas del derecho</v>
          </cell>
        </row>
        <row r="265">
          <cell r="C265" t="str">
            <v>82120 Servicios de asesoramiento y representación jurídicos en procedimientos administrativos de tribunales, juntas, etc. no judiciales</v>
          </cell>
        </row>
        <row r="266">
          <cell r="C266" t="str">
            <v>82130 Servicios de documentación y certificación jurídicos</v>
          </cell>
        </row>
        <row r="267">
          <cell r="C267" t="str">
            <v>82191 Servicios de arbitraje y conciliación</v>
          </cell>
        </row>
        <row r="268">
          <cell r="C268" t="str">
            <v>82199 Otros servicios jurídicos n.c.p.</v>
          </cell>
        </row>
        <row r="269">
          <cell r="C269" t="str">
            <v>82211 Servicios de auditoría financiera</v>
          </cell>
        </row>
        <row r="270">
          <cell r="C270" t="str">
            <v>82212 Servicios de revisión de cuentas</v>
          </cell>
        </row>
        <row r="271">
          <cell r="C271" t="str">
            <v>82213 Servicios de preparación de estados financieros</v>
          </cell>
        </row>
        <row r="272">
          <cell r="C272" t="str">
            <v>82219 Otros servicios de contabilidad</v>
          </cell>
        </row>
        <row r="273">
          <cell r="C273" t="str">
            <v>82220 Servicios de teneduría de libros, excepto declaraciones de impuestos</v>
          </cell>
        </row>
        <row r="274">
          <cell r="C274" t="str">
            <v>823 Servicios de asesoramiento tributario</v>
          </cell>
        </row>
        <row r="275">
          <cell r="C275" t="str">
            <v>82320 Servicios de preparación y revisión de impuestos de sociedades</v>
          </cell>
        </row>
        <row r="276">
          <cell r="C276" t="str">
            <v>82330 Servicios de preparación y planificación de impuestos personales</v>
          </cell>
        </row>
        <row r="277">
          <cell r="C277" t="str">
            <v>82400 Servicios relacionados con casos de insolvencia y liquidación</v>
          </cell>
        </row>
        <row r="278">
          <cell r="C278" t="str">
            <v>83111 Servicios de consultoría en gestión general</v>
          </cell>
        </row>
        <row r="279">
          <cell r="C279" t="str">
            <v>83112 Servicios de consultoría en gestión financiera</v>
          </cell>
        </row>
        <row r="280">
          <cell r="C280" t="str">
            <v>83113 Servicios de consultoría en gestión de recursos humanos</v>
          </cell>
        </row>
        <row r="281">
          <cell r="C281" t="str">
            <v>83114 Servicios de consultoría en gestión de la comercialización</v>
          </cell>
        </row>
        <row r="282">
          <cell r="C282" t="str">
            <v>83115 Servicios de consultoría en gestión de la producción</v>
          </cell>
        </row>
        <row r="283">
          <cell r="C283" t="str">
            <v>83119 Otros servicios de consultoría en gestión</v>
          </cell>
        </row>
        <row r="284">
          <cell r="C284" t="str">
            <v>83121 Servicios de relaciones públicas</v>
          </cell>
        </row>
        <row r="285">
          <cell r="C285" t="str">
            <v>83129 Otros servicios de consultoría prestados a las empresas</v>
          </cell>
        </row>
        <row r="286">
          <cell r="C286" t="str">
            <v>83139 Otros servicios de consultoría científica y técnica n.c.p.</v>
          </cell>
        </row>
        <row r="287">
          <cell r="C287" t="str">
            <v>83141 Servicios de consultoría en equipo de informática</v>
          </cell>
        </row>
        <row r="288">
          <cell r="C288" t="str">
            <v>83142 Servicios de consultoría en programas de informática</v>
          </cell>
        </row>
        <row r="289">
          <cell r="C289" t="str">
            <v>83149 Otros servicios de consultoría en informática</v>
          </cell>
        </row>
        <row r="290">
          <cell r="C290" t="str">
            <v>83150 Servicios de gestión de instalaciones de informática</v>
          </cell>
        </row>
        <row r="291">
          <cell r="C291" t="str">
            <v>83160 Servicios de mantenimiento de sistemas</v>
          </cell>
        </row>
        <row r="292">
          <cell r="C292" t="str">
            <v>83190 Otros servicios de gestión, excepto los servicios de administración de proyectos de construcción</v>
          </cell>
        </row>
        <row r="293">
          <cell r="C293" t="str">
            <v>83211 Servicios de asesoramiento y prediseño arquitectónicos</v>
          </cell>
        </row>
        <row r="294">
          <cell r="C294" t="str">
            <v>83212 Servicios de diseño arquitectónico y de administración de contratos</v>
          </cell>
        </row>
        <row r="295">
          <cell r="C295" t="str">
            <v>83219 Otros servicios de arquitectura</v>
          </cell>
        </row>
        <row r="296">
          <cell r="C296" t="str">
            <v>83221 Servicios de planificación urbana</v>
          </cell>
        </row>
        <row r="297">
          <cell r="C297" t="str">
            <v>83222 Servicios de arquitectura paisajista</v>
          </cell>
        </row>
        <row r="298">
          <cell r="C298" t="str">
            <v>8331 Servicios integrados de ingeniería</v>
          </cell>
        </row>
        <row r="299">
          <cell r="C299" t="str">
            <v>83311 Servicios integrados de ingeniería para edificios</v>
          </cell>
        </row>
        <row r="300">
          <cell r="C300" t="str">
            <v>83312 Servicios integrados de ingeniería para obras de ingeniería civil</v>
          </cell>
        </row>
        <row r="301">
          <cell r="C301" t="str">
            <v>83313 Servicios integrados de ingeniería para plantas y procesos industriales</v>
          </cell>
        </row>
        <row r="302">
          <cell r="C302" t="str">
            <v>83319 Servicios integrados de ingeniería para otros proyectos</v>
          </cell>
        </row>
        <row r="303">
          <cell r="C303" t="str">
            <v>8332 Servicios de gestión de proyectos en relación con la construcción</v>
          </cell>
        </row>
        <row r="304">
          <cell r="C304" t="str">
            <v>83321 Servicios de gestión de proyectos en relación con la construcción de edificios</v>
          </cell>
        </row>
        <row r="305">
          <cell r="C305" t="str">
            <v>83322 Servicios de gestión de proyectos en relación con la construcción de obras de ingeniería civil</v>
          </cell>
        </row>
        <row r="306">
          <cell r="C306" t="str">
            <v>83323 Servicios de gestión de proyectos en relación con la construcción de plantas y procesos industriales</v>
          </cell>
        </row>
        <row r="307">
          <cell r="C307" t="str">
            <v>83329 Servicios de gestión de proyectos en relación con la construcción de otros proyectos</v>
          </cell>
        </row>
        <row r="308">
          <cell r="C308" t="str">
            <v>8333 Servicios de ingeniería de asesoramiento y prediseño</v>
          </cell>
        </row>
        <row r="309">
          <cell r="C309" t="str">
            <v>83331 Servicios de ingeniería de asesoramiento y prediseño para edificios</v>
          </cell>
        </row>
        <row r="310">
          <cell r="C310" t="str">
            <v>83332 Servicios de ingeniería de asesoramiento y prediseño para obras de ingeniería civil</v>
          </cell>
        </row>
        <row r="311">
          <cell r="C311" t="str">
            <v>83333 Servicios de ingeniería de asesoramiento y prediseño para plantas y procesos industriales</v>
          </cell>
        </row>
        <row r="312">
          <cell r="C312" t="str">
            <v>83339 Servicios de ingeniería de asesoramiento y prediseño para otros proyectos</v>
          </cell>
        </row>
        <row r="313">
          <cell r="C313" t="str">
            <v>8334 Servicios de diseño de ingeniería</v>
          </cell>
        </row>
        <row r="314">
          <cell r="C314" t="str">
            <v>83341 Servicios de diseño de ingeniería para edificios</v>
          </cell>
        </row>
        <row r="315">
          <cell r="C315" t="str">
            <v>83342 Servicios de diseño de ingeniería para obras de ingeniería civil</v>
          </cell>
        </row>
        <row r="316">
          <cell r="C316" t="str">
            <v>83343 Servicios de diseño de ingeniería para plantas y procesos industriales</v>
          </cell>
        </row>
        <row r="317">
          <cell r="C317" t="str">
            <v>83349 Servicios de diseño de ingeniería para otros proyectos</v>
          </cell>
        </row>
        <row r="318">
          <cell r="C318" t="str">
            <v>8335 Servicios de ingeniería durante la fase de construcción y de instalación</v>
          </cell>
        </row>
        <row r="319">
          <cell r="C319" t="str">
            <v>83351 Servicios de ingeniería durante la fase de construcción y de instalación de edificios</v>
          </cell>
        </row>
        <row r="320">
          <cell r="C320" t="str">
            <v>83352 Servicios de ingeniería durante la fase de construcción y de instalación de obras de ingeniería civil</v>
          </cell>
        </row>
        <row r="321">
          <cell r="C321" t="str">
            <v>83353 Servicios de ingeniería durante la fase de construcción y de instalación de plantas y procesos industriales</v>
          </cell>
        </row>
        <row r="322">
          <cell r="C322" t="str">
            <v>83359 Servicios de ingeniería durante la fase de construcción y de instalación de otros proyectos</v>
          </cell>
        </row>
        <row r="323">
          <cell r="C323" t="str">
            <v>8339 Otros servicios de ingeniería</v>
          </cell>
        </row>
        <row r="324">
          <cell r="C324" t="str">
            <v>83391 Otros servicios de ingeniería para edificios</v>
          </cell>
        </row>
        <row r="325">
          <cell r="C325" t="str">
            <v>83392 Otros servicios de ingeniería para obras de ingeniería civil</v>
          </cell>
        </row>
        <row r="326">
          <cell r="C326" t="str">
            <v>83393 Otros servicios de ingeniería para plantas y procesos industriales</v>
          </cell>
        </row>
        <row r="327">
          <cell r="C327" t="str">
            <v>83399 Otros servicios de ingeniería para otros proyectos</v>
          </cell>
        </row>
        <row r="328">
          <cell r="C328" t="str">
            <v>83410 Servicios de diseño de interiores</v>
          </cell>
        </row>
        <row r="329">
          <cell r="C329" t="str">
            <v>83490 Otros servicios especializados de diseño</v>
          </cell>
        </row>
        <row r="330">
          <cell r="C330" t="str">
            <v>83510 Servicios de prospección geológica, geofísica y otros servicios de prospección</v>
          </cell>
        </row>
        <row r="331">
          <cell r="C331" t="str">
            <v>83520 Servicios de topografía bajo la superficie</v>
          </cell>
        </row>
        <row r="332">
          <cell r="C332" t="str">
            <v>83530 Servicios de topografía de superficie</v>
          </cell>
        </row>
        <row r="333">
          <cell r="C333" t="str">
            <v>83540 Servicios de cartografía</v>
          </cell>
        </row>
        <row r="334">
          <cell r="C334" t="str">
            <v>83561 Servicios de ensayo y análisis de composición y pureza</v>
          </cell>
        </row>
        <row r="335">
          <cell r="C335" t="str">
            <v>83562 Servicios de ensayo y análisis de propiedades físicas</v>
          </cell>
        </row>
        <row r="336">
          <cell r="C336" t="str">
            <v>83563 Servicios de ensayo y análisis de sistemas mecánicos y eléctricos integrados</v>
          </cell>
        </row>
        <row r="337">
          <cell r="C337" t="str">
            <v>83564 Servicios de inspección técnica de vehículos de transporte por carretera</v>
          </cell>
        </row>
        <row r="338">
          <cell r="C338" t="str">
            <v>83569 Otros servicios de ensayo y análisis técnicos</v>
          </cell>
        </row>
        <row r="339">
          <cell r="C339" t="str">
            <v>83610 Servicios de planificación, creación y colocación de publicidad</v>
          </cell>
        </row>
        <row r="340">
          <cell r="C340" t="str">
            <v>83620 Servicios de venta o arrendamiento de espacio o tiempo publicitario a comisión</v>
          </cell>
        </row>
        <row r="341">
          <cell r="C341" t="str">
            <v>83690 Otros servicios de publicidad</v>
          </cell>
        </row>
        <row r="342">
          <cell r="C342" t="str">
            <v>83700 Servicios de investigación de mercados y de encuestas de la opinión pública</v>
          </cell>
        </row>
        <row r="343">
          <cell r="C343" t="str">
            <v>83811 Servicios de retratos fotográficos</v>
          </cell>
        </row>
        <row r="344">
          <cell r="C344" t="str">
            <v>83812 Servicios de fotografía publicitaria y servicios conexos</v>
          </cell>
        </row>
        <row r="345">
          <cell r="C345" t="str">
            <v>83813 Servicios de reportajes fotográficos de actualidad</v>
          </cell>
        </row>
        <row r="346">
          <cell r="C346" t="str">
            <v>83814 Servicios especializados de fotografía</v>
          </cell>
        </row>
        <row r="347">
          <cell r="C347" t="str">
            <v>83815 Servicios de restauración, copia y retoque de fotografías</v>
          </cell>
        </row>
        <row r="348">
          <cell r="C348" t="str">
            <v>83819 Otros servicios fotográficos</v>
          </cell>
        </row>
        <row r="349">
          <cell r="C349" t="str">
            <v>83820 Servicios de revelado fotográfico</v>
          </cell>
        </row>
        <row r="350">
          <cell r="C350" t="str">
            <v>83910 Servicios de traducción e interpretación</v>
          </cell>
        </row>
        <row r="351">
          <cell r="C351" t="str">
            <v>83990 Todos los demás servicios profesionales, científicos y técnicos n.c.p.</v>
          </cell>
        </row>
        <row r="352">
          <cell r="C352" t="str">
            <v>84110 Servicios de telecomunicaciones alámbricas</v>
          </cell>
        </row>
        <row r="353">
          <cell r="C353" t="str">
            <v>84120 Servicios de telecomunicaciones inalámbricas</v>
          </cell>
        </row>
        <row r="354">
          <cell r="C354" t="str">
            <v>84130 Servicios de telecomunicaciones por satélite</v>
          </cell>
        </row>
        <row r="355">
          <cell r="C355" t="str">
            <v>84200 Servicios de acceso en línea</v>
          </cell>
        </row>
        <row r="356">
          <cell r="C356" t="str">
            <v>84300 Servicios de suministro de información en línea</v>
          </cell>
        </row>
        <row r="357">
          <cell r="C357" t="str">
            <v>84410 Servicios de agencias de prensa para periódicos y revistas</v>
          </cell>
        </row>
        <row r="358">
          <cell r="C358" t="str">
            <v>84420 Servicios de agencias de prensa para medios audiovisuales</v>
          </cell>
        </row>
        <row r="359">
          <cell r="C359" t="str">
            <v>84510 Servicios de bibliotecas</v>
          </cell>
        </row>
        <row r="360">
          <cell r="C360" t="str">
            <v>84520 Servicios de archivos</v>
          </cell>
        </row>
        <row r="361">
          <cell r="C361" t="str">
            <v>85111 Servicios de búsqueda de personal directivo</v>
          </cell>
        </row>
        <row r="362">
          <cell r="C362" t="str">
            <v>85112 Servicios de agencias de colocación</v>
          </cell>
        </row>
        <row r="363">
          <cell r="C363" t="str">
            <v>85121 Servicios de suministro de personal auxiliar de oficina</v>
          </cell>
        </row>
        <row r="364">
          <cell r="C364" t="str">
            <v>85122 Servicios de suministro de personal de ayuda doméstica</v>
          </cell>
        </row>
        <row r="365">
          <cell r="C365" t="str">
            <v>85123 Servicios de suministro de otro tipo de trabajadores para el comercio o la industria</v>
          </cell>
        </row>
        <row r="366">
          <cell r="C366" t="str">
            <v>85124 Servicios de suministro de personal médico</v>
          </cell>
        </row>
        <row r="367">
          <cell r="C367" t="str">
            <v>85129 Servicios de suministro de otro tipo de personal</v>
          </cell>
        </row>
        <row r="368">
          <cell r="C368" t="str">
            <v>85210 Servicios de investigación</v>
          </cell>
        </row>
        <row r="369">
          <cell r="C369" t="str">
            <v>85220 Servicios de consultoría en seguridad</v>
          </cell>
        </row>
        <row r="370">
          <cell r="C370" t="str">
            <v>85230 Servicios de vigilancia de sistemas de alarma</v>
          </cell>
        </row>
        <row r="371">
          <cell r="C371" t="str">
            <v>85240 Servicios de vehículos blindados</v>
          </cell>
        </row>
        <row r="372">
          <cell r="C372" t="str">
            <v>85250 Servicios de guardas</v>
          </cell>
        </row>
        <row r="373">
          <cell r="C373" t="str">
            <v>85290 Otros servicios de seguridad</v>
          </cell>
        </row>
        <row r="374">
          <cell r="C374" t="str">
            <v>85310 Servicios de desinfección y exterminación</v>
          </cell>
        </row>
        <row r="375">
          <cell r="C375" t="str">
            <v>85320 Servicios de limpieza de ventanas</v>
          </cell>
        </row>
        <row r="376">
          <cell r="C376" t="str">
            <v>85330 Servicios de limpieza en general</v>
          </cell>
        </row>
        <row r="377">
          <cell r="C377" t="str">
            <v>85340 Servicios especializados de limpieza</v>
          </cell>
        </row>
        <row r="378">
          <cell r="C378" t="str">
            <v>85400 Servicios de empaquetado</v>
          </cell>
        </row>
        <row r="379">
          <cell r="C379" t="str">
            <v>85910 Servicios de información crediticia</v>
          </cell>
        </row>
        <row r="380">
          <cell r="C380" t="str">
            <v>85920 Servicios de agencias de cobranza</v>
          </cell>
        </row>
        <row r="381">
          <cell r="C381" t="str">
            <v>85930 Servicios de contestación de llamadas telefónicas</v>
          </cell>
        </row>
        <row r="382">
          <cell r="C382" t="str">
            <v>85940 Servicios de copia y reproducción</v>
          </cell>
        </row>
        <row r="383">
          <cell r="C383" t="str">
            <v>85950 Servicios de compilación de listas de envíos por correo y servicios de envíos por correo</v>
          </cell>
        </row>
        <row r="384">
          <cell r="C384" t="str">
            <v>85960 Servicios de procesamiento de datos</v>
          </cell>
        </row>
        <row r="385">
          <cell r="C385" t="str">
            <v>85970 Servicios de organización de ferias de muestras y exposiciones</v>
          </cell>
        </row>
        <row r="386">
          <cell r="C386" t="str">
            <v>85990 Otros servicios auxiliares n.c.p.</v>
          </cell>
        </row>
        <row r="387">
          <cell r="C387" t="str">
            <v>86111 Servicios relacionados con la agricultura</v>
          </cell>
        </row>
        <row r="388">
          <cell r="C388" t="str">
            <v>86112 Servicios relacionados con la jardinería y el paisajismo</v>
          </cell>
        </row>
        <row r="389">
          <cell r="C389" t="str">
            <v>86121 Servicios relacionados con instalaciones para la cría de animales</v>
          </cell>
        </row>
        <row r="390">
          <cell r="C390" t="str">
            <v>86129 Otros servicios relacionados con la cría de animales</v>
          </cell>
        </row>
        <row r="391">
          <cell r="C391" t="str">
            <v>86130 Servicios relacionados con la caza</v>
          </cell>
        </row>
        <row r="392">
          <cell r="C392" t="str">
            <v>86140 Servicios relacionados con la silvicultura y la extracción de madera</v>
          </cell>
        </row>
        <row r="393">
          <cell r="C393" t="str">
            <v>86150 Servicios relacionados con la pesca</v>
          </cell>
        </row>
        <row r="394">
          <cell r="C394" t="str">
            <v>86210 Servicios relacionados con la minería</v>
          </cell>
        </row>
        <row r="395">
          <cell r="C395" t="str">
            <v>86221 Servicios relacionados con la transmisión y la distribución de electricidad (a comisión o por contrato)</v>
          </cell>
        </row>
        <row r="396">
          <cell r="C396" t="str">
            <v>86222 Servicios relacionados con la distribución de gas por tubería (a comisión o por contrato)</v>
          </cell>
        </row>
        <row r="397">
          <cell r="C397" t="str">
            <v>86223 Servicios relacionados con la distribución de agua por tubería (a comisión o por contrato)</v>
          </cell>
        </row>
        <row r="398">
          <cell r="C398" t="str">
            <v>86224 Servicios relacionados con la distribución de vapor de agua y agua caliente por tubería (a comisión o por contrato)</v>
          </cell>
        </row>
        <row r="399">
          <cell r="C399" t="str">
            <v>86311 Servicios de manufactura de alimentos y bebidas</v>
          </cell>
        </row>
        <row r="400">
          <cell r="C400" t="str">
            <v>86321 Servicios de manufactura de artículos textiles</v>
          </cell>
        </row>
        <row r="401">
          <cell r="C401" t="str">
            <v>86330 Servicios de manufactura de madera y de corcho, excepto muebles, y servicios de manufactura de artículos de paja y material trenzable</v>
          </cell>
        </row>
        <row r="402">
          <cell r="C402" t="str">
            <v>86350 Servicios de manufactura de coque, productos refinados de petróleo y combustible nuclear</v>
          </cell>
        </row>
        <row r="403">
          <cell r="C403" t="str">
            <v>86370 Servicios de manufactura de productos de caucho y de plástico</v>
          </cell>
        </row>
        <row r="404">
          <cell r="C404" t="str">
            <v>86390 Otros servicios de manufactura, excepto de productos metálicos, maquinaria y equipo</v>
          </cell>
        </row>
        <row r="405">
          <cell r="C405" t="str">
            <v>86411 Servicios de fundición de metales</v>
          </cell>
        </row>
        <row r="406">
          <cell r="C406" t="str">
            <v>86421 Servicios de forjado, prensado, estampado y laminado de metales</v>
          </cell>
        </row>
        <row r="407">
          <cell r="C407" t="str">
            <v>86422 Servicios de tratamiento y revestimiento de metales</v>
          </cell>
        </row>
        <row r="408">
          <cell r="C408" t="str">
            <v>86423 Servicios de ingeniería mecánica en general</v>
          </cell>
        </row>
        <row r="409">
          <cell r="C409" t="str">
            <v>86429 Otros servicios de manufactura de productos metálicos elaborados, y de labores con metales</v>
          </cell>
        </row>
        <row r="410">
          <cell r="C410" t="str">
            <v>86921 Servicios de imprenta y servicios relacionados con la imprenta, a comisión o por contrato</v>
          </cell>
        </row>
        <row r="411">
          <cell r="C411" t="str">
            <v>86922 Servicios de reproducción de información impresa o grabada, a comisión o por contrato</v>
          </cell>
        </row>
        <row r="412">
          <cell r="C412" t="str">
            <v>86931 Servicios de reciclado de desperdicios o desechos metálicos, a comisión o por contrato</v>
          </cell>
        </row>
        <row r="413">
          <cell r="C413" t="str">
            <v>86932 Servicios de reciclado de desperdicios o desechos no metálicos, a comisión o por contrato</v>
          </cell>
        </row>
        <row r="414">
          <cell r="C414" t="str">
            <v>87110 Servicios de mantenimiento y reparación de productos metálicos elaborados, excepto maquinaria y equipo</v>
          </cell>
        </row>
        <row r="415">
          <cell r="C415" t="str">
            <v>87120 Servicios de mantenimiento y reparación de maquinaria de oficina y contabilidad</v>
          </cell>
        </row>
        <row r="416">
          <cell r="C416" t="str">
            <v>87130 Servicios de mantenimiento, reparación y atención del equipo de informática</v>
          </cell>
        </row>
        <row r="417">
          <cell r="C417" t="str">
            <v>87141 Servicios de mantenimiento y reparación de vehículos de motor</v>
          </cell>
        </row>
        <row r="418">
          <cell r="C418" t="str">
            <v>87142 Servicios de mantenimiento y reparación de motocicletas y vehículos para nieve</v>
          </cell>
        </row>
        <row r="419">
          <cell r="C419" t="str">
            <v>87149 Servicios de mantenimiento y reparación de otro equipo de transporte</v>
          </cell>
        </row>
        <row r="420">
          <cell r="C420" t="str">
            <v>87151 Servicios de reparación de aparatos eléctricos de uso doméstico</v>
          </cell>
        </row>
        <row r="421">
          <cell r="C421" t="str">
            <v>87152 Servicios de reparación de maquinaria y aparatos eléctricos n.c.p</v>
          </cell>
        </row>
        <row r="422">
          <cell r="C422" t="str">
            <v>87153 Servicios de reparación de equipo y aparatos de comunicaciones</v>
          </cell>
        </row>
        <row r="423">
          <cell r="C423" t="str">
            <v>87154 Servicios de reparación de instrumentos médicos, de precisión y ópticos</v>
          </cell>
        </row>
        <row r="424">
          <cell r="C424" t="str">
            <v>87159 Servicios de mantenimiento y reparación de maquinaria y equipo n.c.p.</v>
          </cell>
        </row>
        <row r="425">
          <cell r="C425" t="str">
            <v>87210 Servicios de reparación de calzados y artículos de cuero</v>
          </cell>
        </row>
        <row r="426">
          <cell r="C426" t="str">
            <v>87230 Servicios de reparación de prendas de vestir y productos textiles domésticos</v>
          </cell>
        </row>
        <row r="427">
          <cell r="C427" t="str">
            <v>87290 Servicios de mantenimiento y reparación de otros productos n.c.p.</v>
          </cell>
        </row>
        <row r="428">
          <cell r="C428" t="str">
            <v>91111 Servicios ejecutivos y legislativos</v>
          </cell>
        </row>
        <row r="429">
          <cell r="C429" t="str">
            <v>91112 Servicios financieros y fiscales</v>
          </cell>
        </row>
        <row r="430">
          <cell r="C430" t="str">
            <v>91113 Servicios generales de planificación económica y social y de estadística</v>
          </cell>
        </row>
        <row r="431">
          <cell r="C431" t="str">
            <v>91114 Servicios del gobierno para la investigación fundamental</v>
          </cell>
        </row>
        <row r="432">
          <cell r="C432" t="str">
            <v>91119 Otros servicios administrativos del gobierno n.c.p.</v>
          </cell>
        </row>
        <row r="433">
          <cell r="C433" t="str">
            <v>91121 Servicios administrativos de educación</v>
          </cell>
        </row>
        <row r="434">
          <cell r="C434" t="str">
            <v>91122 Servicios administrativos de salud</v>
          </cell>
        </row>
        <row r="435">
          <cell r="C435" t="str">
            <v>91123 Servicios administrativos de vivienda y servicios para la comunidad</v>
          </cell>
        </row>
        <row r="436">
          <cell r="C436" t="str">
            <v>91124 Servicios administrativos de actividad recreativa, cultural y religiosa</v>
          </cell>
        </row>
        <row r="437">
          <cell r="C437" t="str">
            <v>91131 Servicios administrativos relacionados con la agricultura, la silvicultura, la pesca y la caza</v>
          </cell>
        </row>
        <row r="438">
          <cell r="C438" t="str">
            <v>91132 Servicios administrativos relacionados con los combustibles y la energía</v>
          </cell>
        </row>
        <row r="439">
          <cell r="C439" t="str">
            <v>91133 Servicios administrativos relacionados con la minería y los recursos minerales, la manufactura y la construcción</v>
          </cell>
        </row>
        <row r="440">
          <cell r="C440" t="str">
            <v>91134 Servicios administrativos relacionados con el transporte y las comunicaciones</v>
          </cell>
        </row>
        <row r="441">
          <cell r="C441" t="str">
            <v>91135 Servicios administrativos relacionados con las actividades de distribución y preparación de comidas, hoteles y restaurantes</v>
          </cell>
        </row>
        <row r="442">
          <cell r="C442" t="str">
            <v>91136 Servicios administrativos relacionados con actividades turísticas</v>
          </cell>
        </row>
        <row r="443">
          <cell r="C443" t="str">
            <v>91137 Servicios administrativos para proyectos de desarrollo de fines múltiples</v>
          </cell>
        </row>
        <row r="444">
          <cell r="C444" t="str">
            <v>91138 Servicios administrativos generales relacionados con actividades económicas, comerciales y laborales</v>
          </cell>
        </row>
        <row r="445">
          <cell r="C445" t="str">
            <v>91141 Servicios de personal en general para el gobierno</v>
          </cell>
        </row>
        <row r="446">
          <cell r="C446" t="str">
            <v>91210 Servicios administrativos relacionados con los asuntos exteriores y los servicios diplomáticos y consulares en el exterior</v>
          </cell>
        </row>
        <row r="447">
          <cell r="C447" t="str">
            <v>91220 Servicios relacionados con la ayuda económica extranjera</v>
          </cell>
        </row>
        <row r="448">
          <cell r="C448" t="str">
            <v>91230 Servicios relacionados con la ayuda militar extranjera</v>
          </cell>
        </row>
        <row r="449">
          <cell r="C449" t="str">
            <v>91240 Servicios de defensa militar</v>
          </cell>
        </row>
        <row r="450">
          <cell r="C450" t="str">
            <v>91250 Servicios de defensa civil</v>
          </cell>
        </row>
        <row r="451">
          <cell r="C451" t="str">
            <v>91260 Servicios de policía y contra incendios</v>
          </cell>
        </row>
        <row r="452">
          <cell r="C452" t="str">
            <v>91270 Servicios administrativos relacionados con los tribunales de justicia</v>
          </cell>
        </row>
        <row r="453">
          <cell r="C453" t="str">
            <v>91280 Servicios administrativos relacionados con el encarcelamiento y la rehabilitación de delincuentes</v>
          </cell>
        </row>
        <row r="454">
          <cell r="C454" t="str">
            <v>91290 Otros servicios relacionados con el orden público y la seguridad</v>
          </cell>
        </row>
        <row r="455">
          <cell r="C455" t="str">
            <v>91310 Servicios administrativos relacionados con las prestaciones de enfermedad, maternidad o invalidez temporal</v>
          </cell>
        </row>
        <row r="456">
          <cell r="C456" t="str">
            <v>91320 Servicios administrativos relacionados con los planes de pensiones para empleados del gobierno, y de prestaciones de vejez, invalidez o supérstite distintas de las que tienen los empleados del gobierno</v>
          </cell>
        </row>
        <row r="457">
          <cell r="C457" t="str">
            <v>91330 Servicios administrativos relacionados con las prestaciones de subsidios de desempleo</v>
          </cell>
        </row>
        <row r="458">
          <cell r="C458" t="str">
            <v>91340 Servicios administrativos relacionados con los programas de subsidios familiares y por hijos a cargo</v>
          </cell>
        </row>
        <row r="459">
          <cell r="C459" t="str">
            <v>92110 Servicios de enseñanza preescolar</v>
          </cell>
        </row>
        <row r="460">
          <cell r="C460" t="str">
            <v>92190 Otros servicios de enseñanza primaria</v>
          </cell>
        </row>
        <row r="461">
          <cell r="C461" t="str">
            <v>92210 Servicios generales de enseñanza secundaria</v>
          </cell>
        </row>
        <row r="462">
          <cell r="C462" t="str">
            <v>92220 Servicios de enseñanza secundaria superior</v>
          </cell>
        </row>
        <row r="463">
          <cell r="C463" t="str">
            <v>92230 Servicios de enseñanza secundaria técnica y profesional</v>
          </cell>
        </row>
        <row r="464">
          <cell r="C464" t="str">
            <v>92310 Servicios de enseñanza técnica y profesional postsecundaria</v>
          </cell>
        </row>
        <row r="465">
          <cell r="C465" t="str">
            <v>92390 Otros servicios de enseñanza universitaria y superior</v>
          </cell>
        </row>
        <row r="466">
          <cell r="C466" t="str">
            <v>92900 Otros servicios relacionados con la enseñanza y la capacitación</v>
          </cell>
        </row>
        <row r="467">
          <cell r="C467" t="str">
            <v>93110 Servicios de hospital</v>
          </cell>
        </row>
        <row r="468">
          <cell r="C468" t="str">
            <v>93121 Servicios médicos generales</v>
          </cell>
        </row>
        <row r="469">
          <cell r="C469" t="str">
            <v>93122 Servicios médicos especializados</v>
          </cell>
        </row>
        <row r="470">
          <cell r="C470" t="str">
            <v>93123 Servicios dentales</v>
          </cell>
        </row>
        <row r="471">
          <cell r="C471" t="str">
            <v>93191 Servicios de partos y servicios conexos, servicios de enfermería, servicios fisioterapéuticos y paramédicos</v>
          </cell>
        </row>
        <row r="472">
          <cell r="C472" t="str">
            <v>93192 Servicios de ambulancia</v>
          </cell>
        </row>
        <row r="473">
          <cell r="C473" t="str">
            <v>93193 Servicios de instituciones residenciales de salud distintos de los servicios de hospital</v>
          </cell>
        </row>
        <row r="474">
          <cell r="C474" t="str">
            <v>93199 Otros servicios de salud humana n.c.p.</v>
          </cell>
        </row>
        <row r="475">
          <cell r="C475" t="str">
            <v>93210 Servicios de veterinaria para animales caseros</v>
          </cell>
        </row>
        <row r="476">
          <cell r="C476" t="str">
            <v>93220 Servicios de veterinaria para ganado</v>
          </cell>
        </row>
        <row r="477">
          <cell r="C477" t="str">
            <v>93290 Otros servicios de veterinaria</v>
          </cell>
        </row>
        <row r="478">
          <cell r="C478" t="str">
            <v>93311 Servicios de bienestar proporcionados a ancianos y personas con discapacidades por conducto de instituciones residenciales</v>
          </cell>
        </row>
        <row r="479">
          <cell r="C479" t="str">
            <v>93319 Otros servicios sociales con alojamiento</v>
          </cell>
        </row>
        <row r="480">
          <cell r="C480" t="str">
            <v>93321 Servicios de guardería infantil</v>
          </cell>
        </row>
        <row r="481">
          <cell r="C481" t="str">
            <v>93322 Servicios de orientación y asesoramiento n.c.p. relacionados con niños</v>
          </cell>
        </row>
        <row r="482">
          <cell r="C482" t="str">
            <v>93323 Servicios de bienestar sin alojamiento</v>
          </cell>
        </row>
        <row r="483">
          <cell r="C483" t="str">
            <v>93324 Servicios de rehabilitación profesional</v>
          </cell>
        </row>
        <row r="484">
          <cell r="C484" t="str">
            <v>93329 Otros servicios sociales sin alojamiento</v>
          </cell>
        </row>
        <row r="485">
          <cell r="C485" t="str">
            <v>94110 Servicios de tratamiento de alcantarillas</v>
          </cell>
        </row>
        <row r="486">
          <cell r="C486" t="str">
            <v>94120 Servicios de vaciado y limpieza de depósitos</v>
          </cell>
        </row>
        <row r="487">
          <cell r="C487" t="str">
            <v>94211 Servicios de recogida de desechos no peligrosos</v>
          </cell>
        </row>
        <row r="488">
          <cell r="C488" t="str">
            <v>94212 Servicios de tratamiento y eliminación de desechos no peligrosos</v>
          </cell>
        </row>
        <row r="489">
          <cell r="C489" t="str">
            <v>94221 Servicios de recogida de desechos peligrosos</v>
          </cell>
        </row>
        <row r="490">
          <cell r="C490" t="str">
            <v>94222 Servicios de tratamiento y eliminación de desechos peligrosos</v>
          </cell>
        </row>
        <row r="491">
          <cell r="C491" t="str">
            <v>94310 Servicios de barrido y recogida de nieve</v>
          </cell>
        </row>
        <row r="492">
          <cell r="C492" t="str">
            <v>94390 Otros servicios de saneamiento</v>
          </cell>
        </row>
        <row r="493">
          <cell r="C493" t="str">
            <v>95 Servicios de asociaciones</v>
          </cell>
        </row>
        <row r="494">
          <cell r="C494" t="str">
            <v>95110 Servicios proporcionados por organizaciones comerciales y de empleadores</v>
          </cell>
        </row>
        <row r="495">
          <cell r="C495" t="str">
            <v>95120 Servicios proporcionados por organizaciones profesionales</v>
          </cell>
        </row>
        <row r="496">
          <cell r="C496" t="str">
            <v>95200 Servicios proporcionados por sindicatos</v>
          </cell>
        </row>
        <row r="497">
          <cell r="C497" t="str">
            <v>95910 Servicios religiosos</v>
          </cell>
        </row>
        <row r="498">
          <cell r="C498" t="str">
            <v>95920 Servicios proporcionados por organizaciones políticas</v>
          </cell>
        </row>
        <row r="499">
          <cell r="C499" t="str">
            <v>95991 Servicios de mejoramiento cívico y de apoyo a los servicios para las comunidades</v>
          </cell>
        </row>
        <row r="500">
          <cell r="C500" t="str">
            <v>95992 Servicios de protección de grupos especiales</v>
          </cell>
        </row>
        <row r="501">
          <cell r="C501" t="str">
            <v>95993 Servicios proporcionados por asociaciones de jóvenes</v>
          </cell>
        </row>
        <row r="502">
          <cell r="C502" t="str">
            <v>95999 Otros servicios proporcionados por asociaciones n.c.p</v>
          </cell>
        </row>
        <row r="503">
          <cell r="C503" t="str">
            <v>96111 Servicios de grabación de sonido</v>
          </cell>
        </row>
        <row r="504">
          <cell r="C504" t="str">
            <v>96112 Servicios audiofónicos postproducción</v>
          </cell>
        </row>
        <row r="505">
          <cell r="C505" t="str">
            <v>96121 Servicios de producción de películas cinematográficas, cintas de vídeo y programas de televisión</v>
          </cell>
        </row>
        <row r="506">
          <cell r="C506" t="str">
            <v>96122 Servicios de producción de programas de radio</v>
          </cell>
        </row>
        <row r="507">
          <cell r="C507" t="str">
            <v>96130 Servicios auxiliares de la producción audiovisual</v>
          </cell>
        </row>
        <row r="508">
          <cell r="C508" t="str">
            <v>96141 Servicios de distribución de películas cinematográficas, cintas de vídeo y programas de televisión</v>
          </cell>
        </row>
        <row r="509">
          <cell r="C509" t="str">
            <v>96142 Servicios postproducción de películas cinematográficas y cintas de vídeo</v>
          </cell>
        </row>
        <row r="510">
          <cell r="C510" t="str">
            <v>96149 Otros servicios relacionados con la producción de películas cinematográficas, cintas de vídeo y programas de televisión y radio</v>
          </cell>
        </row>
        <row r="511">
          <cell r="C511" t="str">
            <v>96151 Servicios de proyección de películas cinematográficas</v>
          </cell>
        </row>
        <row r="512">
          <cell r="C512" t="str">
            <v>96152 Servicios de proyección de cintas de vídeo</v>
          </cell>
        </row>
        <row r="513">
          <cell r="C513" t="str">
            <v>96160 Servicios de transmisión (programación y calendario)</v>
          </cell>
        </row>
        <row r="514">
          <cell r="C514" t="str">
            <v>96210 Servicios de promoción y organización de espectáculos a base de artes de interpretación</v>
          </cell>
        </row>
        <row r="515">
          <cell r="C515" t="str">
            <v>96220 Servicios de producción y presentación de espectáculos a base de artes de interpretación</v>
          </cell>
        </row>
        <row r="516">
          <cell r="C516" t="str">
            <v>96230 Servicios de explotación de salas de espectáculos a base de artes de interpretación</v>
          </cell>
        </row>
        <row r="517">
          <cell r="C517" t="str">
            <v>96290 Otros servicios relacionados con las artes de interpretación y los espectáculos en escena</v>
          </cell>
        </row>
        <row r="518">
          <cell r="C518" t="str">
            <v>96310 Servicios relacionados con actores</v>
          </cell>
        </row>
        <row r="519">
          <cell r="C519" t="str">
            <v>96320 Servicios prestados por autores, compositores, escultores y otros artistas, excepto los actores</v>
          </cell>
        </row>
        <row r="520">
          <cell r="C520" t="str">
            <v>96411 Servicios relacionados con museos excepto lugares y edificios históricos</v>
          </cell>
        </row>
        <row r="521">
          <cell r="C521" t="str">
            <v>96412 Servicios de conservación de lugares y edificios históricos</v>
          </cell>
        </row>
        <row r="522">
          <cell r="C522" t="str">
            <v>96421 Servicios relacionados con jardines botánicos y parques zoológicos</v>
          </cell>
        </row>
        <row r="523">
          <cell r="C523" t="str">
            <v>96422 Servicios relacionados con reservas naturales, incluida la conservación de la flora y la fauna</v>
          </cell>
        </row>
        <row r="524">
          <cell r="C524" t="str">
            <v>96510 Servicios de promoción y organización de pruebas deportivas de competición y de esparcimiento</v>
          </cell>
        </row>
        <row r="525">
          <cell r="C525" t="str">
            <v>96520 Servicios de explotación de instalaciones para deportes de competición y para deportes de esparcimiento</v>
          </cell>
        </row>
        <row r="526">
          <cell r="C526" t="str">
            <v>96590 Otros servicios relacionados con deportes de competición y deportes de esparcimiento</v>
          </cell>
        </row>
        <row r="527">
          <cell r="C527" t="str">
            <v>96610 Servicios de atletas</v>
          </cell>
        </row>
        <row r="528">
          <cell r="C528" t="str">
            <v>96620 Servicios auxiliares relacionados con los deportes y el esparcimiento</v>
          </cell>
        </row>
        <row r="529">
          <cell r="C529" t="str">
            <v>96910 Servicios relacionados con parques de atracciones e instalaciones similares</v>
          </cell>
        </row>
        <row r="530">
          <cell r="C530" t="str">
            <v>96920 Servicios de juegos de azar y apuestas</v>
          </cell>
        </row>
        <row r="531">
          <cell r="C531" t="str">
            <v>96990 Otros servicios de esparcimiento y diversión n.c.p.</v>
          </cell>
        </row>
        <row r="532">
          <cell r="C532" t="str">
            <v>97110 Servicios de máquinas de lavandería que funcionan con monedas</v>
          </cell>
        </row>
        <row r="533">
          <cell r="C533" t="str">
            <v>97120 Servicios de limpieza en seco (incluidos los servicios de limpieza de artículos de peletería)</v>
          </cell>
        </row>
        <row r="534">
          <cell r="C534" t="str">
            <v>97130 Otros servicios de limpieza de productos textiles</v>
          </cell>
        </row>
        <row r="535">
          <cell r="C535" t="str">
            <v>97140 Servicios de planchado</v>
          </cell>
        </row>
        <row r="536">
          <cell r="C536" t="str">
            <v>97150 Servicios de teñido y tinte</v>
          </cell>
        </row>
        <row r="537">
          <cell r="C537" t="str">
            <v>97210 Servicios de peluquería y barbería</v>
          </cell>
        </row>
        <row r="538">
          <cell r="C538" t="str">
            <v>97220 Servicios de tratamientos de maquillaje, manicura y pedicura</v>
          </cell>
        </row>
        <row r="539">
          <cell r="C539" t="str">
            <v>97230 Servicios de bienestar físico</v>
          </cell>
        </row>
        <row r="540">
          <cell r="C540" t="str">
            <v>97290 Otros servicios de tratamiento de belleza n.c.p.</v>
          </cell>
        </row>
        <row r="541">
          <cell r="C541" t="str">
            <v>97310 Servicios relacionados con cementerios y servicios de incineración</v>
          </cell>
        </row>
        <row r="542">
          <cell r="C542" t="str">
            <v>97320 Servicios funerarios</v>
          </cell>
        </row>
        <row r="543">
          <cell r="C543" t="str">
            <v>97910 Servicios de acompañamiento o escolta</v>
          </cell>
        </row>
        <row r="544">
          <cell r="C544" t="str">
            <v>97990 Otros servicios diversos n.c.p.</v>
          </cell>
        </row>
        <row r="545">
          <cell r="C545" t="str">
            <v>98000 Servicios domésticos</v>
          </cell>
        </row>
        <row r="546">
          <cell r="C546" t="str">
            <v>99000 Servicios prestados por organizaciones y entidades extraterritoriales</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ICHA TECNICA 1 - ROM"/>
      <sheetName val=" FICHA TECNICA 2- ROM"/>
      <sheetName val="FICHA TECNICA 3- ROM"/>
      <sheetName val="Instructivo"/>
      <sheetName val="Ejemplo"/>
    </sheetNames>
    <sheetDataSet>
      <sheetData sheetId="0" refreshError="1"/>
      <sheetData sheetId="1" refreshError="1">
        <row r="31">
          <cell r="E31">
            <v>100</v>
          </cell>
          <cell r="F31">
            <v>150</v>
          </cell>
        </row>
      </sheetData>
      <sheetData sheetId="2" refreshError="1"/>
      <sheetData sheetId="3" refreshError="1"/>
      <sheetData sheetId="4" refreshError="1"/>
    </sheetDataSet>
  </externalBook>
</externalLink>
</file>

<file path=xl/tables/table1.xml><?xml version="1.0" encoding="utf-8"?>
<table xmlns="http://schemas.openxmlformats.org/spreadsheetml/2006/main" id="1" name="Tabla1" displayName="Tabla1" ref="D1:AH62" totalsRowShown="0" headerRowDxfId="66" dataDxfId="64" headerRowBorderDxfId="65" tableBorderDxfId="63" totalsRowBorderDxfId="62">
  <autoFilter ref="D1:AH62">
    <filterColumn colId="30">
      <filters>
        <filter val="Unidad Administrativa Especial de Organizaciones Solidarias"/>
      </filters>
    </filterColumn>
  </autoFilter>
  <tableColumns count="31">
    <tableColumn id="1" name="INDICADOR" dataDxfId="61" totalsRowDxfId="60" dataCellStyle="Normal 3"/>
    <tableColumn id="2" name="TIPO DE INDICADOR" dataDxfId="59" totalsRowDxfId="58" dataCellStyle="Normal 3"/>
    <tableColumn id="6" name="PERIODICIDAD" dataDxfId="57" totalsRowDxfId="56" dataCellStyle="Normal 3"/>
    <tableColumn id="3" name="LÍNEA DE BASE" dataDxfId="55" totalsRowDxfId="54" dataCellStyle="Normal 3"/>
    <tableColumn id="4" name="META CUATRIENIO" dataDxfId="53" totalsRowDxfId="52" dataCellStyle="Normal 3"/>
    <tableColumn id="17" name="META 2015" dataDxfId="51" totalsRowDxfId="50" dataCellStyle="Normal 3"/>
    <tableColumn id="42" name="META 2016" dataDxfId="49" totalsRowDxfId="48" dataCellStyle="Normal 3"/>
    <tableColumn id="43" name="META 20117" dataDxfId="47" totalsRowDxfId="46" dataCellStyle="Normal 3"/>
    <tableColumn id="41" name="META 2018" dataDxfId="45" totalsRowDxfId="44" dataCellStyle="Normal 3"/>
    <tableColumn id="18" name="Alcanzado  2015" dataDxfId="43" totalsRowDxfId="42" dataCellStyle="Normal 3"/>
    <tableColumn id="16" name="Alcanzado  2016" dataDxfId="41" totalsRowDxfId="40" dataCellStyle="Normal 3"/>
    <tableColumn id="19" name="Alcanzado  2017" dataDxfId="39" totalsRowDxfId="38" dataCellStyle="Normal 3"/>
    <tableColumn id="44" name="Avance 2018" dataDxfId="37" totalsRowDxfId="36">
      <calculatedColumnFormula>Tabla1[[#This Row],[Avance 1 trimestre ]]+Tabla1[[#This Row],[Avance  trimestre 2]]+Tabla1[[#This Row],[Avance  trimestre 3]]+Tabla1[[#This Row],[Avance  trimestre 4]]</calculatedColumnFormula>
    </tableColumn>
    <tableColumn id="47" name="Proyectado I trimestre " dataDxfId="35" totalsRowDxfId="34"/>
    <tableColumn id="46" name="Avance 1 trimestre " dataDxfId="33" totalsRowDxfId="32"/>
    <tableColumn id="45" name="Avance cualitativo " dataDxfId="31" totalsRowDxfId="30"/>
    <tableColumn id="48" name="ProyectadoI trimestre 2" dataDxfId="29" totalsRowDxfId="28"/>
    <tableColumn id="49" name="Avance  trimestre 2" dataDxfId="27" totalsRowDxfId="26">
      <calculatedColumnFormula>'PLAN ESTRATEGICO'!M3</calculatedColumnFormula>
    </tableColumn>
    <tableColumn id="50" name="Avance cualitativo 2" dataDxfId="25" totalsRowDxfId="24"/>
    <tableColumn id="51" name="Proyectado  trimestre 3" dataDxfId="23" totalsRowDxfId="22"/>
    <tableColumn id="52" name="Avance  trimestre 3" dataDxfId="21" totalsRowDxfId="20">
      <calculatedColumnFormula>'PLAN ESTRATEGICO'!N3</calculatedColumnFormula>
    </tableColumn>
    <tableColumn id="23" name="Avance cualitativo 3" dataDxfId="19" totalsRowDxfId="18" dataCellStyle="Normal 3">
      <calculatedColumnFormula>#REF!/#REF!</calculatedColumnFormula>
    </tableColumn>
    <tableColumn id="9" name="Proyectado  trimestre 4" dataDxfId="17" totalsRowDxfId="16" dataCellStyle="Normal 3"/>
    <tableColumn id="37" name="Avance  trimestre 4" dataDxfId="15" totalsRowDxfId="14" dataCellStyle="Normal 3">
      <calculatedColumnFormula>Tabla1[[#This Row],[Proyectado  trimestre 4]]/#REF!</calculatedColumnFormula>
    </tableColumn>
    <tableColumn id="32" name="Avance cualitativo 4" dataDxfId="13" totalsRowDxfId="12" dataCellStyle="Normal 3"/>
    <tableColumn id="20" name="Avance cualitativo 5" dataDxfId="11" totalsRowDxfId="10" dataCellStyle="Normal 3"/>
    <tableColumn id="11" name="Componente trabajo decente" dataDxfId="9" totalsRowDxfId="8" dataCellStyle="Normal 3"/>
    <tableColumn id="12" name="PILAR PND" dataDxfId="7" totalsRowDxfId="6" dataCellStyle="Normal 3"/>
    <tableColumn id="13" name="ESTRATEGIA TRANSVERSAL PND" dataDxfId="5" totalsRowDxfId="4" dataCellStyle="Normal 3"/>
    <tableColumn id="14" name="OBJETIVO PND" dataDxfId="3" totalsRowDxfId="2" dataCellStyle="Normal 3"/>
    <tableColumn id="15" name="ENTIDAD RESPONSABLE" dataDxfId="1" totalsRowDxfId="0" dataCellStyle="Normal 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emoreno@orgsolidarias.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jcuy@orgsolidarias.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emoreno@orgsolidarias.gov.co"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I47"/>
  <sheetViews>
    <sheetView topLeftCell="D13" zoomScale="70" zoomScaleNormal="70" zoomScaleSheetLayoutView="70" workbookViewId="0">
      <selection activeCell="BI28" sqref="BI28"/>
    </sheetView>
  </sheetViews>
  <sheetFormatPr baseColWidth="10" defaultRowHeight="12.75" x14ac:dyDescent="0.2"/>
  <cols>
    <col min="1" max="1" width="47.28515625" style="1" customWidth="1"/>
    <col min="2" max="2" width="23" style="2" customWidth="1"/>
    <col min="3" max="3" width="60.85546875" style="1" customWidth="1"/>
    <col min="4" max="4" width="21.7109375" style="1" customWidth="1"/>
    <col min="5" max="5" width="23.85546875" style="1" customWidth="1"/>
    <col min="6" max="6" width="23.42578125" style="1" customWidth="1"/>
    <col min="7" max="7" width="13.85546875" style="1" customWidth="1"/>
    <col min="8" max="55" width="3.5703125" style="1" customWidth="1"/>
    <col min="56" max="56" width="10.7109375" style="1" customWidth="1"/>
    <col min="57" max="57" width="9.5703125" style="1" customWidth="1"/>
    <col min="58" max="58" width="14.42578125" style="1" customWidth="1"/>
    <col min="59" max="59" width="15.85546875" style="1" customWidth="1"/>
    <col min="60" max="60" width="13.5703125" style="1" customWidth="1"/>
    <col min="61" max="61" width="11.42578125" style="1" customWidth="1"/>
    <col min="62" max="16384" width="11.42578125" style="1"/>
  </cols>
  <sheetData>
    <row r="1" spans="1:61" ht="15" x14ac:dyDescent="0.2">
      <c r="H1" s="3"/>
    </row>
    <row r="2" spans="1:61" ht="15.75" thickBot="1" x14ac:dyDescent="0.25">
      <c r="H2" s="3"/>
    </row>
    <row r="3" spans="1:61" ht="48" customHeight="1" x14ac:dyDescent="0.2">
      <c r="A3" s="908" t="s">
        <v>0</v>
      </c>
      <c r="B3" s="919" t="s">
        <v>1</v>
      </c>
      <c r="C3" s="917" t="s">
        <v>2</v>
      </c>
      <c r="D3" s="917" t="s">
        <v>3</v>
      </c>
      <c r="E3" s="917" t="s">
        <v>4</v>
      </c>
      <c r="F3" s="917" t="s">
        <v>5</v>
      </c>
      <c r="G3" s="908" t="s">
        <v>6</v>
      </c>
      <c r="H3" s="910" t="s">
        <v>7</v>
      </c>
      <c r="I3" s="911"/>
      <c r="J3" s="911"/>
      <c r="K3" s="912"/>
      <c r="L3" s="911" t="s">
        <v>8</v>
      </c>
      <c r="M3" s="911"/>
      <c r="N3" s="911"/>
      <c r="O3" s="912"/>
      <c r="P3" s="911" t="s">
        <v>9</v>
      </c>
      <c r="Q3" s="911"/>
      <c r="R3" s="911"/>
      <c r="S3" s="912"/>
      <c r="T3" s="911" t="s">
        <v>10</v>
      </c>
      <c r="U3" s="911"/>
      <c r="V3" s="911"/>
      <c r="W3" s="912"/>
      <c r="X3" s="911" t="s">
        <v>11</v>
      </c>
      <c r="Y3" s="911"/>
      <c r="Z3" s="911"/>
      <c r="AA3" s="912"/>
      <c r="AB3" s="911" t="s">
        <v>12</v>
      </c>
      <c r="AC3" s="911"/>
      <c r="AD3" s="911"/>
      <c r="AE3" s="912"/>
      <c r="AF3" s="911" t="s">
        <v>13</v>
      </c>
      <c r="AG3" s="911"/>
      <c r="AH3" s="911"/>
      <c r="AI3" s="912"/>
      <c r="AJ3" s="911" t="s">
        <v>14</v>
      </c>
      <c r="AK3" s="911"/>
      <c r="AL3" s="911"/>
      <c r="AM3" s="912"/>
      <c r="AN3" s="911" t="s">
        <v>15</v>
      </c>
      <c r="AO3" s="911"/>
      <c r="AP3" s="911"/>
      <c r="AQ3" s="912"/>
      <c r="AR3" s="911" t="s">
        <v>16</v>
      </c>
      <c r="AS3" s="911"/>
      <c r="AT3" s="911"/>
      <c r="AU3" s="912"/>
      <c r="AV3" s="911" t="s">
        <v>17</v>
      </c>
      <c r="AW3" s="911"/>
      <c r="AX3" s="911"/>
      <c r="AY3" s="912"/>
      <c r="AZ3" s="911" t="s">
        <v>18</v>
      </c>
      <c r="BA3" s="911"/>
      <c r="BB3" s="911"/>
      <c r="BC3" s="911"/>
      <c r="BD3" s="963" t="s">
        <v>66</v>
      </c>
      <c r="BE3" s="964" t="s">
        <v>67</v>
      </c>
      <c r="BF3" s="973" t="s">
        <v>68</v>
      </c>
      <c r="BG3" s="967" t="s">
        <v>69</v>
      </c>
      <c r="BH3" s="967" t="s">
        <v>241</v>
      </c>
    </row>
    <row r="4" spans="1:61" ht="69.75" customHeight="1" thickBot="1" x14ac:dyDescent="0.25">
      <c r="A4" s="909"/>
      <c r="B4" s="920"/>
      <c r="C4" s="918"/>
      <c r="D4" s="918"/>
      <c r="E4" s="918"/>
      <c r="F4" s="918"/>
      <c r="G4" s="909"/>
      <c r="H4" s="915" t="s">
        <v>19</v>
      </c>
      <c r="I4" s="916"/>
      <c r="J4" s="913" t="s">
        <v>20</v>
      </c>
      <c r="K4" s="914"/>
      <c r="L4" s="915" t="s">
        <v>19</v>
      </c>
      <c r="M4" s="916"/>
      <c r="N4" s="913" t="s">
        <v>20</v>
      </c>
      <c r="O4" s="914"/>
      <c r="P4" s="915" t="s">
        <v>19</v>
      </c>
      <c r="Q4" s="916"/>
      <c r="R4" s="913" t="s">
        <v>20</v>
      </c>
      <c r="S4" s="914"/>
      <c r="T4" s="915" t="s">
        <v>19</v>
      </c>
      <c r="U4" s="916"/>
      <c r="V4" s="913" t="s">
        <v>20</v>
      </c>
      <c r="W4" s="914"/>
      <c r="X4" s="915" t="s">
        <v>19</v>
      </c>
      <c r="Y4" s="916"/>
      <c r="Z4" s="913" t="s">
        <v>20</v>
      </c>
      <c r="AA4" s="914"/>
      <c r="AB4" s="915" t="s">
        <v>19</v>
      </c>
      <c r="AC4" s="916"/>
      <c r="AD4" s="913" t="s">
        <v>20</v>
      </c>
      <c r="AE4" s="914"/>
      <c r="AF4" s="915" t="s">
        <v>19</v>
      </c>
      <c r="AG4" s="916"/>
      <c r="AH4" s="913" t="s">
        <v>20</v>
      </c>
      <c r="AI4" s="914"/>
      <c r="AJ4" s="915" t="s">
        <v>19</v>
      </c>
      <c r="AK4" s="916"/>
      <c r="AL4" s="913" t="s">
        <v>20</v>
      </c>
      <c r="AM4" s="914"/>
      <c r="AN4" s="915" t="s">
        <v>19</v>
      </c>
      <c r="AO4" s="916"/>
      <c r="AP4" s="913" t="s">
        <v>20</v>
      </c>
      <c r="AQ4" s="914"/>
      <c r="AR4" s="915" t="s">
        <v>19</v>
      </c>
      <c r="AS4" s="916"/>
      <c r="AT4" s="913" t="s">
        <v>20</v>
      </c>
      <c r="AU4" s="914"/>
      <c r="AV4" s="915" t="s">
        <v>19</v>
      </c>
      <c r="AW4" s="916"/>
      <c r="AX4" s="913" t="s">
        <v>20</v>
      </c>
      <c r="AY4" s="914"/>
      <c r="AZ4" s="915" t="s">
        <v>19</v>
      </c>
      <c r="BA4" s="916"/>
      <c r="BB4" s="913" t="s">
        <v>20</v>
      </c>
      <c r="BC4" s="921"/>
      <c r="BD4" s="899"/>
      <c r="BE4" s="965"/>
      <c r="BF4" s="974"/>
      <c r="BG4" s="968"/>
      <c r="BH4" s="968"/>
    </row>
    <row r="5" spans="1:61" ht="85.5" x14ac:dyDescent="0.2">
      <c r="A5" s="940" t="s">
        <v>21</v>
      </c>
      <c r="B5" s="4">
        <v>0.1</v>
      </c>
      <c r="C5" s="941" t="s">
        <v>22</v>
      </c>
      <c r="D5" s="5" t="s">
        <v>23</v>
      </c>
      <c r="E5" s="5" t="s">
        <v>24</v>
      </c>
      <c r="F5" s="6">
        <v>0.1</v>
      </c>
      <c r="G5" s="943">
        <v>1.1000000000000001</v>
      </c>
      <c r="H5" s="924">
        <v>26</v>
      </c>
      <c r="I5" s="925"/>
      <c r="J5" s="923">
        <v>10</v>
      </c>
      <c r="K5" s="923"/>
      <c r="L5" s="925">
        <v>311</v>
      </c>
      <c r="M5" s="925"/>
      <c r="N5" s="923">
        <v>15</v>
      </c>
      <c r="O5" s="923"/>
      <c r="P5" s="925">
        <v>159</v>
      </c>
      <c r="Q5" s="925"/>
      <c r="R5" s="923">
        <v>10</v>
      </c>
      <c r="S5" s="923"/>
      <c r="T5" s="922"/>
      <c r="U5" s="922"/>
      <c r="V5" s="923">
        <v>15</v>
      </c>
      <c r="W5" s="923"/>
      <c r="X5" s="922"/>
      <c r="Y5" s="922"/>
      <c r="Z5" s="923">
        <v>10</v>
      </c>
      <c r="AA5" s="923"/>
      <c r="AB5" s="922"/>
      <c r="AC5" s="922"/>
      <c r="AD5" s="923">
        <v>15</v>
      </c>
      <c r="AE5" s="923"/>
      <c r="AF5" s="922"/>
      <c r="AG5" s="922"/>
      <c r="AH5" s="923">
        <v>20</v>
      </c>
      <c r="AI5" s="923"/>
      <c r="AJ5" s="922"/>
      <c r="AK5" s="922"/>
      <c r="AL5" s="923">
        <v>100</v>
      </c>
      <c r="AM5" s="923"/>
      <c r="AN5" s="922"/>
      <c r="AO5" s="922"/>
      <c r="AP5" s="923">
        <v>100</v>
      </c>
      <c r="AQ5" s="923"/>
      <c r="AR5" s="922"/>
      <c r="AS5" s="922"/>
      <c r="AT5" s="923">
        <v>100</v>
      </c>
      <c r="AU5" s="923"/>
      <c r="AV5" s="922"/>
      <c r="AW5" s="922"/>
      <c r="AX5" s="923">
        <v>100</v>
      </c>
      <c r="AY5" s="923"/>
      <c r="AZ5" s="922"/>
      <c r="BA5" s="922"/>
      <c r="BB5" s="923">
        <v>5</v>
      </c>
      <c r="BC5" s="926"/>
      <c r="BD5" s="19">
        <f>H5+L5+P5+T5+X5+AB5+AF5+AJ5+AN5+AR5+AV5+AZ5</f>
        <v>496</v>
      </c>
      <c r="BE5" s="21">
        <f>J5+N5+R5+V5+Z5+AD5+AH5+AL5+AP5+AT5+AX5+BB5</f>
        <v>500</v>
      </c>
      <c r="BF5" s="273">
        <f>BD5/BE5</f>
        <v>0.99199999999999999</v>
      </c>
      <c r="BG5" s="270">
        <f>F5*BF5</f>
        <v>9.920000000000001E-2</v>
      </c>
      <c r="BH5" s="23">
        <f>F5</f>
        <v>0.1</v>
      </c>
      <c r="BI5" s="257">
        <f>((J5+N5+R5)/BE5)*BH5</f>
        <v>7.000000000000001E-3</v>
      </c>
    </row>
    <row r="6" spans="1:61" ht="18" customHeight="1" x14ac:dyDescent="0.2">
      <c r="A6" s="931"/>
      <c r="B6" s="945">
        <v>0.1</v>
      </c>
      <c r="C6" s="942"/>
      <c r="D6" s="947" t="s">
        <v>25</v>
      </c>
      <c r="E6" s="947" t="s">
        <v>26</v>
      </c>
      <c r="F6" s="938">
        <v>0.1</v>
      </c>
      <c r="G6" s="944"/>
      <c r="H6" s="936"/>
      <c r="I6" s="927"/>
      <c r="J6" s="927"/>
      <c r="K6" s="927"/>
      <c r="L6" s="937">
        <v>2</v>
      </c>
      <c r="M6" s="937"/>
      <c r="N6" s="927"/>
      <c r="O6" s="927"/>
      <c r="P6" s="927"/>
      <c r="Q6" s="927"/>
      <c r="R6" s="927"/>
      <c r="S6" s="927"/>
      <c r="T6" s="927"/>
      <c r="U6" s="927"/>
      <c r="V6" s="927"/>
      <c r="W6" s="927"/>
      <c r="X6" s="927"/>
      <c r="Y6" s="927"/>
      <c r="Z6" s="927"/>
      <c r="AA6" s="927"/>
      <c r="AB6" s="927"/>
      <c r="AC6" s="927"/>
      <c r="AD6" s="928">
        <v>1</v>
      </c>
      <c r="AE6" s="928"/>
      <c r="AF6" s="927"/>
      <c r="AG6" s="927"/>
      <c r="AH6" s="927"/>
      <c r="AI6" s="927"/>
      <c r="AJ6" s="927"/>
      <c r="AK6" s="927"/>
      <c r="AL6" s="927"/>
      <c r="AM6" s="927"/>
      <c r="AN6" s="927"/>
      <c r="AO6" s="927"/>
      <c r="AP6" s="927"/>
      <c r="AQ6" s="927"/>
      <c r="AR6" s="927"/>
      <c r="AS6" s="927"/>
      <c r="AT6" s="927"/>
      <c r="AU6" s="927"/>
      <c r="AV6" s="927"/>
      <c r="AW6" s="927"/>
      <c r="AX6" s="927"/>
      <c r="AY6" s="927"/>
      <c r="AZ6" s="927"/>
      <c r="BA6" s="927"/>
      <c r="BB6" s="928">
        <v>1</v>
      </c>
      <c r="BC6" s="929"/>
      <c r="BD6" s="961">
        <f>H6+L6+P6+T6+X6+AB6+AF6+AJ6+AN6+AR6+AV6+AZ6</f>
        <v>2</v>
      </c>
      <c r="BE6" s="898">
        <f t="shared" ref="BE6:BE19" si="0">J6+N6+R6+V6+Z6+AD6+AH6+AL6+AP6+AT6+AX6+BB6</f>
        <v>2</v>
      </c>
      <c r="BF6" s="975">
        <f t="shared" ref="BF6:BF19" si="1">BD6/BE6</f>
        <v>1</v>
      </c>
      <c r="BG6" s="969">
        <f t="shared" ref="BG6:BG17" si="2">F6*BF6</f>
        <v>0.1</v>
      </c>
      <c r="BH6" s="971">
        <f t="shared" ref="BH6:BH19" si="3">F6</f>
        <v>0.1</v>
      </c>
      <c r="BI6" s="896">
        <f>((J6+N6+R6)/BE6)*BH6</f>
        <v>0</v>
      </c>
    </row>
    <row r="7" spans="1:61" ht="18" customHeight="1" x14ac:dyDescent="0.2">
      <c r="A7" s="932"/>
      <c r="B7" s="946"/>
      <c r="C7" s="907"/>
      <c r="D7" s="948"/>
      <c r="E7" s="948"/>
      <c r="F7" s="939"/>
      <c r="G7" s="944"/>
      <c r="H7" s="936"/>
      <c r="I7" s="927"/>
      <c r="J7" s="927"/>
      <c r="K7" s="927"/>
      <c r="L7" s="937"/>
      <c r="M7" s="937"/>
      <c r="N7" s="927"/>
      <c r="O7" s="927"/>
      <c r="P7" s="927"/>
      <c r="Q7" s="927"/>
      <c r="R7" s="927"/>
      <c r="S7" s="927"/>
      <c r="T7" s="927"/>
      <c r="U7" s="927"/>
      <c r="V7" s="927"/>
      <c r="W7" s="927"/>
      <c r="X7" s="927"/>
      <c r="Y7" s="927"/>
      <c r="Z7" s="927"/>
      <c r="AA7" s="927"/>
      <c r="AB7" s="927"/>
      <c r="AC7" s="927"/>
      <c r="AD7" s="928"/>
      <c r="AE7" s="928"/>
      <c r="AF7" s="927"/>
      <c r="AG7" s="927"/>
      <c r="AH7" s="927"/>
      <c r="AI7" s="927"/>
      <c r="AJ7" s="927"/>
      <c r="AK7" s="927"/>
      <c r="AL7" s="927"/>
      <c r="AM7" s="927"/>
      <c r="AN7" s="927"/>
      <c r="AO7" s="927"/>
      <c r="AP7" s="927"/>
      <c r="AQ7" s="927"/>
      <c r="AR7" s="927"/>
      <c r="AS7" s="927"/>
      <c r="AT7" s="927"/>
      <c r="AU7" s="927"/>
      <c r="AV7" s="927"/>
      <c r="AW7" s="927"/>
      <c r="AX7" s="927"/>
      <c r="AY7" s="927"/>
      <c r="AZ7" s="927"/>
      <c r="BA7" s="927"/>
      <c r="BB7" s="928"/>
      <c r="BC7" s="929"/>
      <c r="BD7" s="962"/>
      <c r="BE7" s="899"/>
      <c r="BF7" s="976"/>
      <c r="BG7" s="970"/>
      <c r="BH7" s="972"/>
      <c r="BI7" s="897"/>
    </row>
    <row r="8" spans="1:61" ht="57" customHeight="1" x14ac:dyDescent="0.2">
      <c r="A8" s="930" t="s">
        <v>27</v>
      </c>
      <c r="B8" s="933">
        <v>0.3</v>
      </c>
      <c r="C8" s="7" t="s">
        <v>28</v>
      </c>
      <c r="D8" s="8" t="s">
        <v>29</v>
      </c>
      <c r="E8" s="9" t="s">
        <v>30</v>
      </c>
      <c r="F8" s="10">
        <v>0.1</v>
      </c>
      <c r="G8" s="17">
        <v>2.1</v>
      </c>
      <c r="H8" s="936"/>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8">
        <v>50</v>
      </c>
      <c r="AQ8" s="928"/>
      <c r="AR8" s="927"/>
      <c r="AS8" s="927"/>
      <c r="AT8" s="927"/>
      <c r="AU8" s="927"/>
      <c r="AV8" s="927"/>
      <c r="AW8" s="927"/>
      <c r="AX8" s="928">
        <v>57</v>
      </c>
      <c r="AY8" s="928"/>
      <c r="AZ8" s="927"/>
      <c r="BA8" s="927"/>
      <c r="BB8" s="927"/>
      <c r="BC8" s="951"/>
      <c r="BD8" s="19">
        <f>H8+L8+P8+T8+X8+AB8+AF8+AJ8+AN8+AR8+AV8+AZ8</f>
        <v>0</v>
      </c>
      <c r="BE8" s="21">
        <f t="shared" si="0"/>
        <v>107</v>
      </c>
      <c r="BF8" s="273">
        <f t="shared" si="1"/>
        <v>0</v>
      </c>
      <c r="BG8" s="270">
        <f t="shared" si="2"/>
        <v>0</v>
      </c>
      <c r="BH8" s="23">
        <f t="shared" si="3"/>
        <v>0.1</v>
      </c>
      <c r="BI8" s="257">
        <f t="shared" ref="BI8:BI19" si="4">((J8+N8+R8)/BE8)*BH8</f>
        <v>0</v>
      </c>
    </row>
    <row r="9" spans="1:61" ht="38.25" customHeight="1" x14ac:dyDescent="0.2">
      <c r="A9" s="931"/>
      <c r="B9" s="934"/>
      <c r="C9" s="949" t="s">
        <v>31</v>
      </c>
      <c r="D9" s="906" t="s">
        <v>32</v>
      </c>
      <c r="E9" s="904" t="s">
        <v>33</v>
      </c>
      <c r="F9" s="902">
        <v>0.1</v>
      </c>
      <c r="G9" s="900">
        <v>2.2000000000000002</v>
      </c>
      <c r="H9" s="936"/>
      <c r="I9" s="927"/>
      <c r="J9" s="927"/>
      <c r="K9" s="927"/>
      <c r="L9" s="927"/>
      <c r="M9" s="927"/>
      <c r="N9" s="927"/>
      <c r="O9" s="927"/>
      <c r="P9" s="927"/>
      <c r="Q9" s="927"/>
      <c r="R9" s="927"/>
      <c r="S9" s="927"/>
      <c r="T9" s="927"/>
      <c r="U9" s="927"/>
      <c r="V9" s="927"/>
      <c r="W9" s="927"/>
      <c r="X9" s="927"/>
      <c r="Y9" s="927"/>
      <c r="Z9" s="927"/>
      <c r="AA9" s="927"/>
      <c r="AB9" s="927"/>
      <c r="AC9" s="927"/>
      <c r="AD9" s="928">
        <v>4</v>
      </c>
      <c r="AE9" s="928"/>
      <c r="AF9" s="927"/>
      <c r="AG9" s="927"/>
      <c r="AH9" s="927"/>
      <c r="AI9" s="927"/>
      <c r="AJ9" s="927"/>
      <c r="AK9" s="927"/>
      <c r="AL9" s="927"/>
      <c r="AM9" s="927"/>
      <c r="AN9" s="927"/>
      <c r="AO9" s="927"/>
      <c r="AP9" s="927"/>
      <c r="AQ9" s="927"/>
      <c r="AR9" s="927"/>
      <c r="AS9" s="927"/>
      <c r="AT9" s="927"/>
      <c r="AU9" s="927"/>
      <c r="AV9" s="927"/>
      <c r="AW9" s="927"/>
      <c r="AX9" s="927"/>
      <c r="AY9" s="927"/>
      <c r="AZ9" s="927"/>
      <c r="BA9" s="927"/>
      <c r="BB9" s="928">
        <v>4</v>
      </c>
      <c r="BC9" s="929"/>
      <c r="BD9" s="961">
        <f>H9+L9+P9+T9+X9+AB9+AF9+AJ9+AN9+AR9+AV9+AZ9</f>
        <v>0</v>
      </c>
      <c r="BE9" s="898">
        <f t="shared" si="0"/>
        <v>8</v>
      </c>
      <c r="BF9" s="975">
        <f t="shared" si="1"/>
        <v>0</v>
      </c>
      <c r="BG9" s="969">
        <f t="shared" si="2"/>
        <v>0</v>
      </c>
      <c r="BH9" s="971">
        <f t="shared" si="3"/>
        <v>0.1</v>
      </c>
      <c r="BI9" s="896">
        <f t="shared" si="4"/>
        <v>0</v>
      </c>
    </row>
    <row r="10" spans="1:61" ht="66.75" customHeight="1" x14ac:dyDescent="0.2">
      <c r="A10" s="931"/>
      <c r="B10" s="934"/>
      <c r="C10" s="950"/>
      <c r="D10" s="907"/>
      <c r="E10" s="905"/>
      <c r="F10" s="903"/>
      <c r="G10" s="901"/>
      <c r="H10" s="936"/>
      <c r="I10" s="927"/>
      <c r="J10" s="927"/>
      <c r="K10" s="927"/>
      <c r="L10" s="927"/>
      <c r="M10" s="927"/>
      <c r="N10" s="927"/>
      <c r="O10" s="927"/>
      <c r="P10" s="927"/>
      <c r="Q10" s="927"/>
      <c r="R10" s="927"/>
      <c r="S10" s="927"/>
      <c r="T10" s="927"/>
      <c r="U10" s="927"/>
      <c r="V10" s="927"/>
      <c r="W10" s="927"/>
      <c r="X10" s="927"/>
      <c r="Y10" s="927"/>
      <c r="Z10" s="927"/>
      <c r="AA10" s="927"/>
      <c r="AB10" s="927"/>
      <c r="AC10" s="927"/>
      <c r="AD10" s="928"/>
      <c r="AE10" s="928"/>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c r="BB10" s="928"/>
      <c r="BC10" s="929"/>
      <c r="BD10" s="962"/>
      <c r="BE10" s="899"/>
      <c r="BF10" s="976"/>
      <c r="BG10" s="970"/>
      <c r="BH10" s="972"/>
      <c r="BI10" s="897"/>
    </row>
    <row r="11" spans="1:61" ht="57" x14ac:dyDescent="0.2">
      <c r="A11" s="931"/>
      <c r="B11" s="934"/>
      <c r="C11" s="949" t="s">
        <v>34</v>
      </c>
      <c r="D11" s="11" t="s">
        <v>35</v>
      </c>
      <c r="E11" s="11" t="s">
        <v>36</v>
      </c>
      <c r="F11" s="902">
        <v>0.1</v>
      </c>
      <c r="G11" s="944">
        <v>2.2999999999999998</v>
      </c>
      <c r="H11" s="936"/>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8">
        <v>350</v>
      </c>
      <c r="AQ11" s="928"/>
      <c r="AR11" s="927"/>
      <c r="AS11" s="927"/>
      <c r="AT11" s="927"/>
      <c r="AU11" s="927"/>
      <c r="AV11" s="927"/>
      <c r="AW11" s="927"/>
      <c r="AX11" s="928">
        <v>370</v>
      </c>
      <c r="AY11" s="928"/>
      <c r="AZ11" s="927"/>
      <c r="BA11" s="927"/>
      <c r="BB11" s="927"/>
      <c r="BC11" s="951"/>
      <c r="BD11" s="19">
        <f t="shared" ref="BD11:BD19" si="5">H11+L11+P11+T11+X11+AB11+AF11+AJ11+AN11+AR11+AV11+AZ11</f>
        <v>0</v>
      </c>
      <c r="BE11" s="21">
        <f t="shared" si="0"/>
        <v>720</v>
      </c>
      <c r="BF11" s="273">
        <f t="shared" si="1"/>
        <v>0</v>
      </c>
      <c r="BG11" s="969">
        <f>F11*(AVERAGE(BF11,BF12))</f>
        <v>0</v>
      </c>
      <c r="BH11" s="971">
        <f t="shared" si="3"/>
        <v>0.1</v>
      </c>
      <c r="BI11" s="257">
        <f t="shared" si="4"/>
        <v>0</v>
      </c>
    </row>
    <row r="12" spans="1:61" ht="57" x14ac:dyDescent="0.2">
      <c r="A12" s="932"/>
      <c r="B12" s="935"/>
      <c r="C12" s="950"/>
      <c r="D12" s="11" t="s">
        <v>37</v>
      </c>
      <c r="E12" s="11" t="s">
        <v>38</v>
      </c>
      <c r="F12" s="903"/>
      <c r="G12" s="944"/>
      <c r="H12" s="936"/>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8">
        <v>1000</v>
      </c>
      <c r="AQ12" s="928"/>
      <c r="AR12" s="927"/>
      <c r="AS12" s="927"/>
      <c r="AT12" s="927"/>
      <c r="AU12" s="927"/>
      <c r="AV12" s="927"/>
      <c r="AW12" s="927"/>
      <c r="AX12" s="928">
        <v>1098</v>
      </c>
      <c r="AY12" s="928"/>
      <c r="AZ12" s="927"/>
      <c r="BA12" s="927"/>
      <c r="BB12" s="927"/>
      <c r="BC12" s="951"/>
      <c r="BD12" s="19">
        <f t="shared" si="5"/>
        <v>0</v>
      </c>
      <c r="BE12" s="21">
        <f t="shared" si="0"/>
        <v>2098</v>
      </c>
      <c r="BF12" s="273">
        <f>BD12/BE12</f>
        <v>0</v>
      </c>
      <c r="BG12" s="970"/>
      <c r="BH12" s="972"/>
      <c r="BI12" s="257">
        <f t="shared" si="4"/>
        <v>0</v>
      </c>
    </row>
    <row r="13" spans="1:61" ht="57" x14ac:dyDescent="0.2">
      <c r="A13" s="241" t="s">
        <v>39</v>
      </c>
      <c r="B13" s="12">
        <v>0.1</v>
      </c>
      <c r="C13" s="11" t="s">
        <v>40</v>
      </c>
      <c r="D13" s="11" t="s">
        <v>41</v>
      </c>
      <c r="E13" s="11" t="s">
        <v>42</v>
      </c>
      <c r="F13" s="10">
        <v>0.1</v>
      </c>
      <c r="G13" s="17">
        <v>3.1</v>
      </c>
      <c r="H13" s="936"/>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8">
        <v>1</v>
      </c>
      <c r="AQ13" s="928"/>
      <c r="AR13" s="927"/>
      <c r="AS13" s="927"/>
      <c r="AT13" s="927"/>
      <c r="AU13" s="927"/>
      <c r="AV13" s="927"/>
      <c r="AW13" s="927"/>
      <c r="AX13" s="928">
        <v>1</v>
      </c>
      <c r="AY13" s="928"/>
      <c r="AZ13" s="927"/>
      <c r="BA13" s="927"/>
      <c r="BB13" s="927"/>
      <c r="BC13" s="951"/>
      <c r="BD13" s="19">
        <f t="shared" si="5"/>
        <v>0</v>
      </c>
      <c r="BE13" s="21">
        <f t="shared" si="0"/>
        <v>2</v>
      </c>
      <c r="BF13" s="273">
        <f t="shared" si="1"/>
        <v>0</v>
      </c>
      <c r="BG13" s="270">
        <f t="shared" si="2"/>
        <v>0</v>
      </c>
      <c r="BH13" s="23">
        <f t="shared" si="3"/>
        <v>0.1</v>
      </c>
      <c r="BI13" s="257">
        <f t="shared" si="4"/>
        <v>0</v>
      </c>
    </row>
    <row r="14" spans="1:61" ht="57" x14ac:dyDescent="0.2">
      <c r="A14" s="242" t="s">
        <v>43</v>
      </c>
      <c r="B14" s="12">
        <v>0.1</v>
      </c>
      <c r="C14" s="11" t="s">
        <v>44</v>
      </c>
      <c r="D14" s="5" t="s">
        <v>45</v>
      </c>
      <c r="E14" s="5" t="s">
        <v>46</v>
      </c>
      <c r="F14" s="10">
        <v>0.1</v>
      </c>
      <c r="G14" s="17">
        <v>4.0999999999999996</v>
      </c>
      <c r="H14" s="936"/>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8">
        <v>3</v>
      </c>
      <c r="AI14" s="928"/>
      <c r="AJ14" s="927"/>
      <c r="AK14" s="927"/>
      <c r="AL14" s="927"/>
      <c r="AM14" s="927"/>
      <c r="AN14" s="927"/>
      <c r="AO14" s="927"/>
      <c r="AP14" s="927"/>
      <c r="AQ14" s="927"/>
      <c r="AR14" s="927"/>
      <c r="AS14" s="927"/>
      <c r="AT14" s="927"/>
      <c r="AU14" s="927"/>
      <c r="AV14" s="927"/>
      <c r="AW14" s="927"/>
      <c r="AX14" s="928">
        <v>3</v>
      </c>
      <c r="AY14" s="928"/>
      <c r="AZ14" s="927"/>
      <c r="BA14" s="927"/>
      <c r="BB14" s="927"/>
      <c r="BC14" s="951"/>
      <c r="BD14" s="19">
        <f t="shared" si="5"/>
        <v>0</v>
      </c>
      <c r="BE14" s="21">
        <f t="shared" si="0"/>
        <v>6</v>
      </c>
      <c r="BF14" s="273">
        <f t="shared" si="1"/>
        <v>0</v>
      </c>
      <c r="BG14" s="270">
        <f t="shared" si="2"/>
        <v>0</v>
      </c>
      <c r="BH14" s="23">
        <f t="shared" si="3"/>
        <v>0.1</v>
      </c>
      <c r="BI14" s="257">
        <f t="shared" si="4"/>
        <v>0</v>
      </c>
    </row>
    <row r="15" spans="1:61" ht="71.25" x14ac:dyDescent="0.2">
      <c r="A15" s="242" t="s">
        <v>47</v>
      </c>
      <c r="B15" s="12">
        <v>0.1</v>
      </c>
      <c r="C15" s="11" t="s">
        <v>48</v>
      </c>
      <c r="D15" s="11" t="s">
        <v>49</v>
      </c>
      <c r="E15" s="5" t="s">
        <v>50</v>
      </c>
      <c r="F15" s="10">
        <v>0.1</v>
      </c>
      <c r="G15" s="17">
        <v>5.0999999999999996</v>
      </c>
      <c r="H15" s="936"/>
      <c r="I15" s="927"/>
      <c r="J15" s="927"/>
      <c r="K15" s="927"/>
      <c r="L15" s="927"/>
      <c r="M15" s="927"/>
      <c r="N15" s="927"/>
      <c r="O15" s="927"/>
      <c r="P15" s="937">
        <v>2</v>
      </c>
      <c r="Q15" s="937"/>
      <c r="R15" s="927"/>
      <c r="S15" s="927"/>
      <c r="T15" s="927"/>
      <c r="U15" s="927"/>
      <c r="V15" s="927"/>
      <c r="W15" s="927"/>
      <c r="X15" s="927"/>
      <c r="Y15" s="927"/>
      <c r="Z15" s="927"/>
      <c r="AA15" s="927"/>
      <c r="AB15" s="927"/>
      <c r="AC15" s="927"/>
      <c r="AD15" s="927"/>
      <c r="AE15" s="927"/>
      <c r="AF15" s="927"/>
      <c r="AG15" s="927"/>
      <c r="AH15" s="928">
        <v>2</v>
      </c>
      <c r="AI15" s="928"/>
      <c r="AJ15" s="927"/>
      <c r="AK15" s="927"/>
      <c r="AL15" s="927"/>
      <c r="AM15" s="927"/>
      <c r="AN15" s="927"/>
      <c r="AO15" s="927"/>
      <c r="AP15" s="927"/>
      <c r="AQ15" s="927"/>
      <c r="AR15" s="927"/>
      <c r="AS15" s="927"/>
      <c r="AT15" s="927"/>
      <c r="AU15" s="927"/>
      <c r="AV15" s="927"/>
      <c r="AW15" s="927"/>
      <c r="AX15" s="927"/>
      <c r="AY15" s="927"/>
      <c r="AZ15" s="927"/>
      <c r="BA15" s="927"/>
      <c r="BB15" s="927"/>
      <c r="BC15" s="951"/>
      <c r="BD15" s="19">
        <f t="shared" si="5"/>
        <v>2</v>
      </c>
      <c r="BE15" s="21">
        <f t="shared" si="0"/>
        <v>2</v>
      </c>
      <c r="BF15" s="273">
        <f t="shared" si="1"/>
        <v>1</v>
      </c>
      <c r="BG15" s="270">
        <f t="shared" si="2"/>
        <v>0.1</v>
      </c>
      <c r="BH15" s="23">
        <f t="shared" si="3"/>
        <v>0.1</v>
      </c>
      <c r="BI15" s="257">
        <f t="shared" si="4"/>
        <v>0</v>
      </c>
    </row>
    <row r="16" spans="1:61" ht="71.25" x14ac:dyDescent="0.2">
      <c r="A16" s="243" t="s">
        <v>51</v>
      </c>
      <c r="B16" s="12">
        <v>0.05</v>
      </c>
      <c r="C16" s="13" t="s">
        <v>52</v>
      </c>
      <c r="D16" s="11" t="s">
        <v>53</v>
      </c>
      <c r="E16" s="5" t="s">
        <v>54</v>
      </c>
      <c r="F16" s="10">
        <v>0.05</v>
      </c>
      <c r="G16" s="17">
        <v>6.1</v>
      </c>
      <c r="H16" s="936"/>
      <c r="I16" s="927"/>
      <c r="J16" s="927"/>
      <c r="K16" s="927"/>
      <c r="L16" s="927"/>
      <c r="M16" s="927"/>
      <c r="N16" s="927"/>
      <c r="O16" s="927"/>
      <c r="P16" s="937">
        <v>2</v>
      </c>
      <c r="Q16" s="937"/>
      <c r="R16" s="928">
        <v>1</v>
      </c>
      <c r="S16" s="928"/>
      <c r="T16" s="927"/>
      <c r="U16" s="927"/>
      <c r="V16" s="927"/>
      <c r="W16" s="927"/>
      <c r="X16" s="927"/>
      <c r="Y16" s="927"/>
      <c r="Z16" s="927"/>
      <c r="AA16" s="927"/>
      <c r="AB16" s="927"/>
      <c r="AC16" s="927"/>
      <c r="AD16" s="928">
        <v>1</v>
      </c>
      <c r="AE16" s="928"/>
      <c r="AF16" s="927"/>
      <c r="AG16" s="927"/>
      <c r="AH16" s="927"/>
      <c r="AI16" s="927"/>
      <c r="AJ16" s="927"/>
      <c r="AK16" s="927"/>
      <c r="AL16" s="927"/>
      <c r="AM16" s="927"/>
      <c r="AN16" s="927"/>
      <c r="AO16" s="927"/>
      <c r="AP16" s="928">
        <v>1</v>
      </c>
      <c r="AQ16" s="928"/>
      <c r="AR16" s="927"/>
      <c r="AS16" s="927"/>
      <c r="AT16" s="927"/>
      <c r="AU16" s="927"/>
      <c r="AV16" s="927"/>
      <c r="AW16" s="927"/>
      <c r="AX16" s="927"/>
      <c r="AY16" s="927"/>
      <c r="AZ16" s="927"/>
      <c r="BA16" s="927"/>
      <c r="BB16" s="928">
        <v>1</v>
      </c>
      <c r="BC16" s="929"/>
      <c r="BD16" s="19">
        <f t="shared" si="5"/>
        <v>2</v>
      </c>
      <c r="BE16" s="21">
        <f t="shared" si="0"/>
        <v>4</v>
      </c>
      <c r="BF16" s="273">
        <f t="shared" si="1"/>
        <v>0.5</v>
      </c>
      <c r="BG16" s="270">
        <f t="shared" si="2"/>
        <v>2.5000000000000001E-2</v>
      </c>
      <c r="BH16" s="23">
        <f t="shared" si="3"/>
        <v>0.05</v>
      </c>
      <c r="BI16" s="257">
        <f t="shared" si="4"/>
        <v>1.2500000000000001E-2</v>
      </c>
    </row>
    <row r="17" spans="1:61" ht="42.75" x14ac:dyDescent="0.2">
      <c r="A17" s="243" t="s">
        <v>55</v>
      </c>
      <c r="B17" s="12">
        <v>0.05</v>
      </c>
      <c r="C17" s="13" t="s">
        <v>56</v>
      </c>
      <c r="D17" s="9" t="s">
        <v>57</v>
      </c>
      <c r="E17" s="5" t="s">
        <v>58</v>
      </c>
      <c r="F17" s="10">
        <v>0.05</v>
      </c>
      <c r="G17" s="17">
        <v>7.1</v>
      </c>
      <c r="H17" s="936"/>
      <c r="I17" s="927"/>
      <c r="J17" s="952"/>
      <c r="K17" s="952"/>
      <c r="L17" s="927"/>
      <c r="M17" s="927"/>
      <c r="N17" s="952"/>
      <c r="O17" s="952"/>
      <c r="P17" s="927"/>
      <c r="Q17" s="927"/>
      <c r="R17" s="952"/>
      <c r="S17" s="952"/>
      <c r="T17" s="927"/>
      <c r="U17" s="927"/>
      <c r="V17" s="952"/>
      <c r="W17" s="952"/>
      <c r="X17" s="927"/>
      <c r="Y17" s="927"/>
      <c r="Z17" s="952"/>
      <c r="AA17" s="952"/>
      <c r="AB17" s="927"/>
      <c r="AC17" s="927"/>
      <c r="AD17" s="928">
        <v>1</v>
      </c>
      <c r="AE17" s="928"/>
      <c r="AF17" s="927"/>
      <c r="AG17" s="927"/>
      <c r="AH17" s="952"/>
      <c r="AI17" s="952"/>
      <c r="AJ17" s="927"/>
      <c r="AK17" s="927"/>
      <c r="AL17" s="952"/>
      <c r="AM17" s="952"/>
      <c r="AN17" s="927"/>
      <c r="AO17" s="927"/>
      <c r="AP17" s="928">
        <v>1</v>
      </c>
      <c r="AQ17" s="928"/>
      <c r="AR17" s="927"/>
      <c r="AS17" s="927"/>
      <c r="AT17" s="952"/>
      <c r="AU17" s="952"/>
      <c r="AV17" s="927"/>
      <c r="AW17" s="927"/>
      <c r="AX17" s="952"/>
      <c r="AY17" s="952"/>
      <c r="AZ17" s="927"/>
      <c r="BA17" s="927"/>
      <c r="BB17" s="928">
        <v>1</v>
      </c>
      <c r="BC17" s="929"/>
      <c r="BD17" s="19">
        <f t="shared" si="5"/>
        <v>0</v>
      </c>
      <c r="BE17" s="21">
        <f t="shared" si="0"/>
        <v>3</v>
      </c>
      <c r="BF17" s="273">
        <f t="shared" si="1"/>
        <v>0</v>
      </c>
      <c r="BG17" s="270">
        <f t="shared" si="2"/>
        <v>0</v>
      </c>
      <c r="BH17" s="23">
        <f t="shared" si="3"/>
        <v>0.05</v>
      </c>
      <c r="BI17" s="257">
        <f t="shared" si="4"/>
        <v>0</v>
      </c>
    </row>
    <row r="18" spans="1:61" ht="42.75" x14ac:dyDescent="0.2">
      <c r="A18" s="953" t="s">
        <v>59</v>
      </c>
      <c r="B18" s="14">
        <v>0.05</v>
      </c>
      <c r="C18" s="13" t="s">
        <v>60</v>
      </c>
      <c r="D18" s="9" t="s">
        <v>61</v>
      </c>
      <c r="E18" s="15" t="s">
        <v>62</v>
      </c>
      <c r="F18" s="16">
        <v>0.05</v>
      </c>
      <c r="G18" s="17">
        <v>8.1</v>
      </c>
      <c r="H18" s="955">
        <v>4</v>
      </c>
      <c r="I18" s="937"/>
      <c r="J18" s="928">
        <v>2</v>
      </c>
      <c r="K18" s="928"/>
      <c r="L18" s="937">
        <v>7</v>
      </c>
      <c r="M18" s="937"/>
      <c r="N18" s="928">
        <v>2</v>
      </c>
      <c r="O18" s="928"/>
      <c r="P18" s="937">
        <v>6</v>
      </c>
      <c r="Q18" s="937"/>
      <c r="R18" s="928">
        <v>2</v>
      </c>
      <c r="S18" s="928"/>
      <c r="T18" s="927"/>
      <c r="U18" s="927"/>
      <c r="V18" s="928">
        <v>2</v>
      </c>
      <c r="W18" s="928"/>
      <c r="X18" s="927"/>
      <c r="Y18" s="927"/>
      <c r="Z18" s="928">
        <v>2</v>
      </c>
      <c r="AA18" s="928"/>
      <c r="AB18" s="927"/>
      <c r="AC18" s="927"/>
      <c r="AD18" s="928">
        <v>2</v>
      </c>
      <c r="AE18" s="928"/>
      <c r="AF18" s="927"/>
      <c r="AG18" s="927"/>
      <c r="AH18" s="928">
        <v>2</v>
      </c>
      <c r="AI18" s="928"/>
      <c r="AJ18" s="927"/>
      <c r="AK18" s="927"/>
      <c r="AL18" s="928">
        <v>2</v>
      </c>
      <c r="AM18" s="928"/>
      <c r="AN18" s="927"/>
      <c r="AO18" s="927"/>
      <c r="AP18" s="928">
        <v>2</v>
      </c>
      <c r="AQ18" s="928"/>
      <c r="AR18" s="927"/>
      <c r="AS18" s="927"/>
      <c r="AT18" s="928">
        <v>2</v>
      </c>
      <c r="AU18" s="928"/>
      <c r="AV18" s="927"/>
      <c r="AW18" s="927"/>
      <c r="AX18" s="928">
        <v>2</v>
      </c>
      <c r="AY18" s="928"/>
      <c r="AZ18" s="927"/>
      <c r="BA18" s="927"/>
      <c r="BB18" s="928">
        <v>2</v>
      </c>
      <c r="BC18" s="929"/>
      <c r="BD18" s="19">
        <f t="shared" si="5"/>
        <v>17</v>
      </c>
      <c r="BE18" s="21">
        <f t="shared" si="0"/>
        <v>24</v>
      </c>
      <c r="BF18" s="273">
        <f t="shared" si="1"/>
        <v>0.70833333333333337</v>
      </c>
      <c r="BG18" s="270">
        <f>F18*BF18</f>
        <v>3.5416666666666673E-2</v>
      </c>
      <c r="BH18" s="23">
        <f t="shared" si="3"/>
        <v>0.05</v>
      </c>
      <c r="BI18" s="257">
        <f t="shared" si="4"/>
        <v>1.2500000000000001E-2</v>
      </c>
    </row>
    <row r="19" spans="1:61" ht="43.5" thickBot="1" x14ac:dyDescent="0.25">
      <c r="A19" s="954"/>
      <c r="B19" s="244">
        <v>0.05</v>
      </c>
      <c r="C19" s="45" t="s">
        <v>63</v>
      </c>
      <c r="D19" s="245" t="s">
        <v>64</v>
      </c>
      <c r="E19" s="45" t="s">
        <v>65</v>
      </c>
      <c r="F19" s="246">
        <v>0.05</v>
      </c>
      <c r="G19" s="18">
        <v>8.1999999999999993</v>
      </c>
      <c r="H19" s="956"/>
      <c r="I19" s="957"/>
      <c r="J19" s="958"/>
      <c r="K19" s="958"/>
      <c r="L19" s="959">
        <v>1</v>
      </c>
      <c r="M19" s="959"/>
      <c r="N19" s="960">
        <v>1</v>
      </c>
      <c r="O19" s="960"/>
      <c r="P19" s="959">
        <v>1</v>
      </c>
      <c r="Q19" s="959"/>
      <c r="R19" s="960">
        <v>1</v>
      </c>
      <c r="S19" s="960"/>
      <c r="T19" s="957"/>
      <c r="U19" s="957"/>
      <c r="V19" s="960">
        <v>1</v>
      </c>
      <c r="W19" s="960"/>
      <c r="X19" s="957"/>
      <c r="Y19" s="957"/>
      <c r="Z19" s="960">
        <v>1</v>
      </c>
      <c r="AA19" s="960"/>
      <c r="AB19" s="958"/>
      <c r="AC19" s="958"/>
      <c r="AD19" s="960">
        <v>1</v>
      </c>
      <c r="AE19" s="960"/>
      <c r="AF19" s="957"/>
      <c r="AG19" s="957"/>
      <c r="AH19" s="960">
        <v>1</v>
      </c>
      <c r="AI19" s="960"/>
      <c r="AJ19" s="957"/>
      <c r="AK19" s="957"/>
      <c r="AL19" s="960">
        <v>1</v>
      </c>
      <c r="AM19" s="960"/>
      <c r="AN19" s="957"/>
      <c r="AO19" s="957"/>
      <c r="AP19" s="960">
        <v>1</v>
      </c>
      <c r="AQ19" s="960"/>
      <c r="AR19" s="957"/>
      <c r="AS19" s="957"/>
      <c r="AT19" s="958"/>
      <c r="AU19" s="958"/>
      <c r="AV19" s="957"/>
      <c r="AW19" s="957"/>
      <c r="AX19" s="958"/>
      <c r="AY19" s="958"/>
      <c r="AZ19" s="957"/>
      <c r="BA19" s="957"/>
      <c r="BB19" s="958"/>
      <c r="BC19" s="966"/>
      <c r="BD19" s="19">
        <f t="shared" si="5"/>
        <v>2</v>
      </c>
      <c r="BE19" s="21">
        <f t="shared" si="0"/>
        <v>8</v>
      </c>
      <c r="BF19" s="273">
        <f t="shared" si="1"/>
        <v>0.25</v>
      </c>
      <c r="BG19" s="270">
        <f>F19*BF19</f>
        <v>1.2500000000000001E-2</v>
      </c>
      <c r="BH19" s="23">
        <f t="shared" si="3"/>
        <v>0.05</v>
      </c>
      <c r="BI19" s="257">
        <f t="shared" si="4"/>
        <v>1.2500000000000001E-2</v>
      </c>
    </row>
    <row r="20" spans="1:61" ht="30" customHeight="1" x14ac:dyDescent="0.2">
      <c r="BG20" s="272">
        <f>SUM(BG5:BG19)</f>
        <v>0.37211666666666671</v>
      </c>
      <c r="BI20" s="258">
        <f>SUM(BI5:BI19)</f>
        <v>4.4499999999999998E-2</v>
      </c>
    </row>
    <row r="23" spans="1:61" x14ac:dyDescent="0.2">
      <c r="C23" s="72" t="s">
        <v>731</v>
      </c>
      <c r="F23" s="72" t="s">
        <v>732</v>
      </c>
    </row>
    <row r="24" spans="1:61" x14ac:dyDescent="0.2">
      <c r="BG24" s="72" t="s">
        <v>1191</v>
      </c>
    </row>
    <row r="25" spans="1:61" ht="25.5" customHeight="1" x14ac:dyDescent="0.2">
      <c r="C25" s="876" t="s">
        <v>71</v>
      </c>
      <c r="D25" s="877" t="s">
        <v>73</v>
      </c>
      <c r="E25" s="877" t="s">
        <v>72</v>
      </c>
      <c r="BG25" s="336" t="s">
        <v>830</v>
      </c>
      <c r="BH25" s="337">
        <v>0</v>
      </c>
    </row>
    <row r="26" spans="1:61" ht="25.5" customHeight="1" x14ac:dyDescent="0.2">
      <c r="C26" s="25" t="str">
        <f>A5</f>
        <v>1. Promover la asociatividad y la solidaridad  mediante jornadas en las que se exponga el tema solidario y empresarial</v>
      </c>
      <c r="D26" s="26">
        <f>B5+B6</f>
        <v>0.2</v>
      </c>
      <c r="E26" s="26">
        <f>BG5+BG6</f>
        <v>0.19920000000000002</v>
      </c>
      <c r="BG26" s="336" t="s">
        <v>831</v>
      </c>
      <c r="BH26" s="337"/>
    </row>
    <row r="27" spans="1:61" ht="25.5" customHeight="1" x14ac:dyDescent="0.2">
      <c r="C27" s="25" t="s">
        <v>74</v>
      </c>
      <c r="D27" s="26">
        <f>B8</f>
        <v>0.3</v>
      </c>
      <c r="E27" s="26">
        <f>BG8+BG9+BG11+BG12</f>
        <v>0</v>
      </c>
      <c r="BG27" s="336" t="s">
        <v>832</v>
      </c>
      <c r="BH27" s="337"/>
    </row>
    <row r="28" spans="1:61" ht="25.5" customHeight="1" x14ac:dyDescent="0.2">
      <c r="C28" s="25" t="str">
        <f>A13</f>
        <v>3, Implementar modelo integral a la medida  promoviendo el modelo asociativo solidario, como herramienta para la generacion de ingresos</v>
      </c>
      <c r="D28" s="26">
        <f>B13</f>
        <v>0.1</v>
      </c>
      <c r="E28" s="26">
        <f>BG13</f>
        <v>0</v>
      </c>
      <c r="BG28" s="336" t="s">
        <v>833</v>
      </c>
      <c r="BH28" s="337"/>
    </row>
    <row r="29" spans="1:61" ht="25.5" customHeight="1" x14ac:dyDescent="0.2">
      <c r="C29" s="25" t="str">
        <f>A14</f>
        <v>4. Promover y dinamizar redes y cadenas productivas, como vehiculos para el desarrollo de las organizaciones solidarias</v>
      </c>
      <c r="D29" s="26">
        <f t="shared" ref="D29:D32" si="6">B14</f>
        <v>0.1</v>
      </c>
      <c r="E29" s="26">
        <f>BG14</f>
        <v>0</v>
      </c>
    </row>
    <row r="30" spans="1:61" ht="25.5" customHeight="1" x14ac:dyDescent="0.2">
      <c r="C30" s="25" t="str">
        <f>A15</f>
        <v>5, Articular esfuerzos con entes y actores nacionales o territoriales publicos o privados para la promocion de la asociatividad solidaria aprovechando la vocacion productiva de las regiones</v>
      </c>
      <c r="D30" s="26">
        <f t="shared" si="6"/>
        <v>0.1</v>
      </c>
      <c r="E30" s="26">
        <f>BG15</f>
        <v>0.1</v>
      </c>
    </row>
    <row r="31" spans="1:61" ht="25.5" customHeight="1" x14ac:dyDescent="0.2">
      <c r="C31" s="25" t="str">
        <f>A16</f>
        <v>6, Actualizar y reportar la información de los procesos productivos  que desarrollen Emprendimiento o mejoren Productividad en las regiones de ejecución de convenios o contratos a cargo del grupo.</v>
      </c>
      <c r="D31" s="26">
        <f t="shared" si="6"/>
        <v>0.05</v>
      </c>
      <c r="E31" s="26">
        <f>BG16</f>
        <v>2.5000000000000001E-2</v>
      </c>
    </row>
    <row r="32" spans="1:61" ht="25.5" customHeight="1" x14ac:dyDescent="0.2">
      <c r="C32" s="25" t="str">
        <f>A17</f>
        <v>7, Desarrollar actividades  por gestion como promoción, sensibilización, creación y fortalecimiento que adelante el grupo.</v>
      </c>
      <c r="D32" s="26">
        <f t="shared" si="6"/>
        <v>0.05</v>
      </c>
      <c r="E32" s="26">
        <f>BG17</f>
        <v>0</v>
      </c>
    </row>
    <row r="33" spans="3:5" ht="25.5" customHeight="1" x14ac:dyDescent="0.2">
      <c r="C33" s="25" t="str">
        <f>A18</f>
        <v>8, Apoyar el desarrollo de las actividades necesarias para la implementación de los criterios de Gobierno en Línea en la Unidad Administrativa Especial de Organizaciones Solidarias.</v>
      </c>
      <c r="D33" s="26">
        <f>B18+B19</f>
        <v>0.1</v>
      </c>
      <c r="E33" s="26">
        <f>BG18+BG19</f>
        <v>4.7916666666666677E-2</v>
      </c>
    </row>
    <row r="34" spans="3:5" ht="25.5" customHeight="1" x14ac:dyDescent="0.2">
      <c r="C34" s="878" t="s">
        <v>66</v>
      </c>
      <c r="D34" s="879">
        <f>SUM(D26:D33)</f>
        <v>1</v>
      </c>
      <c r="E34" s="879">
        <f>SUM(E26:E33)</f>
        <v>0.37211666666666671</v>
      </c>
    </row>
    <row r="36" spans="3:5" x14ac:dyDescent="0.2">
      <c r="C36" s="72" t="s">
        <v>733</v>
      </c>
    </row>
    <row r="37" spans="3:5" ht="25.5" x14ac:dyDescent="0.2">
      <c r="C37" s="880" t="str">
        <f t="shared" ref="C37:E46" si="7">C25</f>
        <v>ACTIVIDADES GENERALES</v>
      </c>
      <c r="D37" s="880" t="str">
        <f t="shared" si="7"/>
        <v>% AVANCE ESPERADO X ACTIVIDAD</v>
      </c>
      <c r="E37" s="880" t="str">
        <f t="shared" si="7"/>
        <v>% AVANCE EJECUTADO X ACTIVIDAD</v>
      </c>
    </row>
    <row r="38" spans="3:5" ht="39.75" customHeight="1" x14ac:dyDescent="0.2">
      <c r="C38" s="267" t="str">
        <f t="shared" si="7"/>
        <v>1. Promover la asociatividad y la solidaridad  mediante jornadas en las que se exponga el tema solidario y empresarial</v>
      </c>
      <c r="D38" s="269">
        <f>BI5+BI6</f>
        <v>7.000000000000001E-3</v>
      </c>
      <c r="E38" s="269">
        <f>E26</f>
        <v>0.19920000000000002</v>
      </c>
    </row>
    <row r="39" spans="3:5" ht="39.75" customHeight="1" x14ac:dyDescent="0.2">
      <c r="C39" s="267" t="str">
        <f t="shared" si="7"/>
        <v>2. Fomentar y fortalecer organizaciones solidarias, en los sectores: agropecuario, cultura, turismo, minero, inclusion social y otros que se prioricen de acuerdo al PND.</v>
      </c>
      <c r="D39" s="269">
        <f>BI8+BI9+BI11+BI12</f>
        <v>0</v>
      </c>
      <c r="E39" s="269">
        <f t="shared" si="7"/>
        <v>0</v>
      </c>
    </row>
    <row r="40" spans="3:5" ht="39.75" customHeight="1" x14ac:dyDescent="0.2">
      <c r="C40" s="267" t="str">
        <f t="shared" si="7"/>
        <v>3, Implementar modelo integral a la medida  promoviendo el modelo asociativo solidario, como herramienta para la generacion de ingresos</v>
      </c>
      <c r="D40" s="269">
        <f>BI13</f>
        <v>0</v>
      </c>
      <c r="E40" s="269">
        <f t="shared" si="7"/>
        <v>0</v>
      </c>
    </row>
    <row r="41" spans="3:5" ht="39.75" customHeight="1" x14ac:dyDescent="0.2">
      <c r="C41" s="267" t="str">
        <f t="shared" si="7"/>
        <v>4. Promover y dinamizar redes y cadenas productivas, como vehiculos para el desarrollo de las organizaciones solidarias</v>
      </c>
      <c r="D41" s="269">
        <f>BI14</f>
        <v>0</v>
      </c>
      <c r="E41" s="269">
        <f t="shared" si="7"/>
        <v>0</v>
      </c>
    </row>
    <row r="42" spans="3:5" ht="39.75" customHeight="1" x14ac:dyDescent="0.2">
      <c r="C42" s="267" t="str">
        <f t="shared" si="7"/>
        <v>5, Articular esfuerzos con entes y actores nacionales o territoriales publicos o privados para la promocion de la asociatividad solidaria aprovechando la vocacion productiva de las regiones</v>
      </c>
      <c r="D42" s="269">
        <f>BI15</f>
        <v>0</v>
      </c>
      <c r="E42" s="269">
        <f t="shared" si="7"/>
        <v>0.1</v>
      </c>
    </row>
    <row r="43" spans="3:5" ht="39.75" customHeight="1" x14ac:dyDescent="0.2">
      <c r="C43" s="267" t="str">
        <f t="shared" si="7"/>
        <v>6, Actualizar y reportar la información de los procesos productivos  que desarrollen Emprendimiento o mejoren Productividad en las regiones de ejecución de convenios o contratos a cargo del grupo.</v>
      </c>
      <c r="D43" s="269">
        <f t="shared" ref="D43:D44" si="8">BI16</f>
        <v>1.2500000000000001E-2</v>
      </c>
      <c r="E43" s="269">
        <f t="shared" si="7"/>
        <v>2.5000000000000001E-2</v>
      </c>
    </row>
    <row r="44" spans="3:5" ht="39.75" customHeight="1" x14ac:dyDescent="0.2">
      <c r="C44" s="267" t="str">
        <f t="shared" si="7"/>
        <v>7, Desarrollar actividades  por gestion como promoción, sensibilización, creación y fortalecimiento que adelante el grupo.</v>
      </c>
      <c r="D44" s="269">
        <f t="shared" si="8"/>
        <v>0</v>
      </c>
      <c r="E44" s="269">
        <f t="shared" si="7"/>
        <v>0</v>
      </c>
    </row>
    <row r="45" spans="3:5" ht="39.75" customHeight="1" x14ac:dyDescent="0.2">
      <c r="C45" s="267" t="str">
        <f t="shared" si="7"/>
        <v>8, Apoyar el desarrollo de las actividades necesarias para la implementación de los criterios de Gobierno en Línea en la Unidad Administrativa Especial de Organizaciones Solidarias.</v>
      </c>
      <c r="D45" s="269">
        <f>BI18+BI19</f>
        <v>2.5000000000000001E-2</v>
      </c>
      <c r="E45" s="269">
        <f t="shared" si="7"/>
        <v>4.7916666666666677E-2</v>
      </c>
    </row>
    <row r="46" spans="3:5" x14ac:dyDescent="0.2">
      <c r="C46" s="881" t="str">
        <f t="shared" si="7"/>
        <v>TOTAL</v>
      </c>
      <c r="D46" s="882">
        <f>SUM(D38:D45)</f>
        <v>4.4500000000000005E-2</v>
      </c>
      <c r="E46" s="882">
        <f>SUM(E38:E45)</f>
        <v>0.37211666666666671</v>
      </c>
    </row>
    <row r="47" spans="3:5" ht="33" customHeight="1" x14ac:dyDescent="0.2">
      <c r="C47" s="72" t="s">
        <v>734</v>
      </c>
    </row>
  </sheetData>
  <mergeCells count="392">
    <mergeCell ref="BG3:BG4"/>
    <mergeCell ref="BG6:BG7"/>
    <mergeCell ref="BG9:BG10"/>
    <mergeCell ref="BH3:BH4"/>
    <mergeCell ref="BH6:BH7"/>
    <mergeCell ref="BH9:BH10"/>
    <mergeCell ref="BG11:BG12"/>
    <mergeCell ref="BH11:BH12"/>
    <mergeCell ref="BF3:BF4"/>
    <mergeCell ref="BF6:BF7"/>
    <mergeCell ref="BF9:BF10"/>
    <mergeCell ref="BE6:BE7"/>
    <mergeCell ref="BD3:BD4"/>
    <mergeCell ref="BE3:BE4"/>
    <mergeCell ref="BD9:BD10"/>
    <mergeCell ref="AT19:AU19"/>
    <mergeCell ref="AV19:AW19"/>
    <mergeCell ref="AX19:AY19"/>
    <mergeCell ref="AZ19:BA19"/>
    <mergeCell ref="BB19:BC19"/>
    <mergeCell ref="AX18:AY18"/>
    <mergeCell ref="AZ18:BA18"/>
    <mergeCell ref="BB18:BC18"/>
    <mergeCell ref="BB17:BC17"/>
    <mergeCell ref="AX16:AY16"/>
    <mergeCell ref="AZ16:BA16"/>
    <mergeCell ref="BB16:BC16"/>
    <mergeCell ref="BB15:BC15"/>
    <mergeCell ref="AZ14:BA14"/>
    <mergeCell ref="BB14:BC14"/>
    <mergeCell ref="BB13:BC13"/>
    <mergeCell ref="AZ12:BA12"/>
    <mergeCell ref="BB12:BC12"/>
    <mergeCell ref="AX11:AY11"/>
    <mergeCell ref="AV14:AW14"/>
    <mergeCell ref="AP19:AQ19"/>
    <mergeCell ref="AR19:AS19"/>
    <mergeCell ref="V19:W19"/>
    <mergeCell ref="X19:Y19"/>
    <mergeCell ref="Z19:AA19"/>
    <mergeCell ref="AB19:AC19"/>
    <mergeCell ref="AD19:AE19"/>
    <mergeCell ref="AF19:AG19"/>
    <mergeCell ref="BD6:BD7"/>
    <mergeCell ref="AP18:AQ18"/>
    <mergeCell ref="AR18:AS18"/>
    <mergeCell ref="AT18:AU18"/>
    <mergeCell ref="AV18:AW18"/>
    <mergeCell ref="AJ18:AK18"/>
    <mergeCell ref="AZ15:BA15"/>
    <mergeCell ref="AD15:AE15"/>
    <mergeCell ref="AF15:AG15"/>
    <mergeCell ref="AH15:AI15"/>
    <mergeCell ref="AJ15:AK15"/>
    <mergeCell ref="AL15:AM15"/>
    <mergeCell ref="AN15:AO15"/>
    <mergeCell ref="Z15:AA15"/>
    <mergeCell ref="AB15:AC15"/>
    <mergeCell ref="AT14:AU14"/>
    <mergeCell ref="H19:I19"/>
    <mergeCell ref="J19:K19"/>
    <mergeCell ref="L19:M19"/>
    <mergeCell ref="N19:O19"/>
    <mergeCell ref="P19:Q19"/>
    <mergeCell ref="R19:S19"/>
    <mergeCell ref="T19:U19"/>
    <mergeCell ref="AL18:AM18"/>
    <mergeCell ref="AN18:AO18"/>
    <mergeCell ref="N18:O18"/>
    <mergeCell ref="P18:Q18"/>
    <mergeCell ref="R18:S18"/>
    <mergeCell ref="T18:U18"/>
    <mergeCell ref="V18:W18"/>
    <mergeCell ref="X18:Y18"/>
    <mergeCell ref="AH19:AI19"/>
    <mergeCell ref="AJ19:AK19"/>
    <mergeCell ref="AL19:AM19"/>
    <mergeCell ref="AN19:AO19"/>
    <mergeCell ref="Z18:AA18"/>
    <mergeCell ref="AB18:AC18"/>
    <mergeCell ref="AD18:AE18"/>
    <mergeCell ref="AF18:AG18"/>
    <mergeCell ref="AH18:AI18"/>
    <mergeCell ref="A18:A19"/>
    <mergeCell ref="H18:I18"/>
    <mergeCell ref="J18:K18"/>
    <mergeCell ref="L18:M18"/>
    <mergeCell ref="AR17:AS17"/>
    <mergeCell ref="AT17:AU17"/>
    <mergeCell ref="AV17:AW17"/>
    <mergeCell ref="AX17:AY17"/>
    <mergeCell ref="AZ17:BA17"/>
    <mergeCell ref="AF17:AG17"/>
    <mergeCell ref="AH17:AI17"/>
    <mergeCell ref="AJ17:AK17"/>
    <mergeCell ref="AL17:AM17"/>
    <mergeCell ref="AN17:AO17"/>
    <mergeCell ref="AP17:AQ17"/>
    <mergeCell ref="T17:U17"/>
    <mergeCell ref="V17:W17"/>
    <mergeCell ref="X17:Y17"/>
    <mergeCell ref="Z17:AA17"/>
    <mergeCell ref="AB17:AC17"/>
    <mergeCell ref="AD17:AE17"/>
    <mergeCell ref="H17:I17"/>
    <mergeCell ref="J17:K17"/>
    <mergeCell ref="L17:M17"/>
    <mergeCell ref="N17:O17"/>
    <mergeCell ref="P17:Q17"/>
    <mergeCell ref="R17:S17"/>
    <mergeCell ref="AL16:AM16"/>
    <mergeCell ref="AN16:AO16"/>
    <mergeCell ref="AP16:AQ16"/>
    <mergeCell ref="AR16:AS16"/>
    <mergeCell ref="AT16:AU16"/>
    <mergeCell ref="AV16:AW16"/>
    <mergeCell ref="Z16:AA16"/>
    <mergeCell ref="AB16:AC16"/>
    <mergeCell ref="AD16:AE16"/>
    <mergeCell ref="AF16:AG16"/>
    <mergeCell ref="AH16:AI16"/>
    <mergeCell ref="AJ16:AK16"/>
    <mergeCell ref="H16:I16"/>
    <mergeCell ref="J16:K16"/>
    <mergeCell ref="L16:M16"/>
    <mergeCell ref="N16:O16"/>
    <mergeCell ref="P16:Q16"/>
    <mergeCell ref="R16:S16"/>
    <mergeCell ref="T16:U16"/>
    <mergeCell ref="V16:W16"/>
    <mergeCell ref="X16:Y16"/>
    <mergeCell ref="AX14:AY14"/>
    <mergeCell ref="AP14:AQ14"/>
    <mergeCell ref="AR14:AS14"/>
    <mergeCell ref="AP15:AQ15"/>
    <mergeCell ref="AR15:AS15"/>
    <mergeCell ref="AT15:AU15"/>
    <mergeCell ref="AV15:AW15"/>
    <mergeCell ref="AX15:AY15"/>
    <mergeCell ref="L14:M14"/>
    <mergeCell ref="N14:O14"/>
    <mergeCell ref="P14:Q14"/>
    <mergeCell ref="R14:S14"/>
    <mergeCell ref="T14:U14"/>
    <mergeCell ref="R15:S15"/>
    <mergeCell ref="T15:U15"/>
    <mergeCell ref="V15:W15"/>
    <mergeCell ref="X15:Y15"/>
    <mergeCell ref="AZ13:BA13"/>
    <mergeCell ref="AD13:AE13"/>
    <mergeCell ref="AF13:AG13"/>
    <mergeCell ref="AH13:AI13"/>
    <mergeCell ref="AJ13:AK13"/>
    <mergeCell ref="AL13:AM13"/>
    <mergeCell ref="AN13:AO13"/>
    <mergeCell ref="H15:I15"/>
    <mergeCell ref="J15:K15"/>
    <mergeCell ref="L15:M15"/>
    <mergeCell ref="N15:O15"/>
    <mergeCell ref="P15:Q15"/>
    <mergeCell ref="AH14:AI14"/>
    <mergeCell ref="AJ14:AK14"/>
    <mergeCell ref="AL14:AM14"/>
    <mergeCell ref="AN14:AO14"/>
    <mergeCell ref="V14:W14"/>
    <mergeCell ref="X14:Y14"/>
    <mergeCell ref="Z14:AA14"/>
    <mergeCell ref="AB14:AC14"/>
    <mergeCell ref="AD14:AE14"/>
    <mergeCell ref="AF14:AG14"/>
    <mergeCell ref="H14:I14"/>
    <mergeCell ref="J14:K14"/>
    <mergeCell ref="AT12:AU12"/>
    <mergeCell ref="AV12:AW12"/>
    <mergeCell ref="AX12:AY12"/>
    <mergeCell ref="AP12:AQ12"/>
    <mergeCell ref="AR12:AS12"/>
    <mergeCell ref="AP13:AQ13"/>
    <mergeCell ref="AR13:AS13"/>
    <mergeCell ref="AT13:AU13"/>
    <mergeCell ref="AV13:AW13"/>
    <mergeCell ref="AX13:AY13"/>
    <mergeCell ref="H13:I13"/>
    <mergeCell ref="J13:K13"/>
    <mergeCell ref="L13:M13"/>
    <mergeCell ref="N13:O13"/>
    <mergeCell ref="P13:Q13"/>
    <mergeCell ref="AH12:AI12"/>
    <mergeCell ref="AJ12:AK12"/>
    <mergeCell ref="AL12:AM12"/>
    <mergeCell ref="AN12:AO12"/>
    <mergeCell ref="V12:W12"/>
    <mergeCell ref="X12:Y12"/>
    <mergeCell ref="Z12:AA12"/>
    <mergeCell ref="AB12:AC12"/>
    <mergeCell ref="AD12:AE12"/>
    <mergeCell ref="AF12:AG12"/>
    <mergeCell ref="R13:S13"/>
    <mergeCell ref="T13:U13"/>
    <mergeCell ref="V13:W13"/>
    <mergeCell ref="X13:Y13"/>
    <mergeCell ref="Z13:AA13"/>
    <mergeCell ref="AB13:AC13"/>
    <mergeCell ref="AZ11:BA11"/>
    <mergeCell ref="BB11:BC11"/>
    <mergeCell ref="H12:I12"/>
    <mergeCell ref="J12:K12"/>
    <mergeCell ref="L12:M12"/>
    <mergeCell ref="N12:O12"/>
    <mergeCell ref="P12:Q12"/>
    <mergeCell ref="R12:S12"/>
    <mergeCell ref="T12:U12"/>
    <mergeCell ref="AL11:AM11"/>
    <mergeCell ref="AN11:AO11"/>
    <mergeCell ref="AP11:AQ11"/>
    <mergeCell ref="AR11:AS11"/>
    <mergeCell ref="AT11:AU11"/>
    <mergeCell ref="AV11:AW11"/>
    <mergeCell ref="Z11:AA11"/>
    <mergeCell ref="AB11:AC11"/>
    <mergeCell ref="AD11:AE11"/>
    <mergeCell ref="AF11:AG11"/>
    <mergeCell ref="AH11:AI11"/>
    <mergeCell ref="AJ11:AK11"/>
    <mergeCell ref="N11:O11"/>
    <mergeCell ref="P11:Q11"/>
    <mergeCell ref="R11:S11"/>
    <mergeCell ref="T11:U11"/>
    <mergeCell ref="V11:W11"/>
    <mergeCell ref="X11:Y11"/>
    <mergeCell ref="AZ9:BA10"/>
    <mergeCell ref="BB9:BC10"/>
    <mergeCell ref="C11:C12"/>
    <mergeCell ref="F11:F12"/>
    <mergeCell ref="G11:G12"/>
    <mergeCell ref="H11:I11"/>
    <mergeCell ref="J11:K11"/>
    <mergeCell ref="L11:M11"/>
    <mergeCell ref="AN9:AO10"/>
    <mergeCell ref="AP9:AQ10"/>
    <mergeCell ref="AR9:AS10"/>
    <mergeCell ref="AT9:AU10"/>
    <mergeCell ref="AV9:AW10"/>
    <mergeCell ref="AX9:AY10"/>
    <mergeCell ref="AB9:AC10"/>
    <mergeCell ref="AD9:AE10"/>
    <mergeCell ref="AF9:AG10"/>
    <mergeCell ref="AH9:AI10"/>
    <mergeCell ref="AJ9:AK10"/>
    <mergeCell ref="AL9:AM10"/>
    <mergeCell ref="P9:Q10"/>
    <mergeCell ref="R9:S10"/>
    <mergeCell ref="T9:U10"/>
    <mergeCell ref="V9:W10"/>
    <mergeCell ref="X9:Y10"/>
    <mergeCell ref="Z9:AA10"/>
    <mergeCell ref="H9:I10"/>
    <mergeCell ref="J9:K10"/>
    <mergeCell ref="L9:M10"/>
    <mergeCell ref="N9:O10"/>
    <mergeCell ref="Z8:AA8"/>
    <mergeCell ref="AB8:AC8"/>
    <mergeCell ref="AD8:AE8"/>
    <mergeCell ref="AF8:AG8"/>
    <mergeCell ref="AH8:AI8"/>
    <mergeCell ref="AJ8:AK8"/>
    <mergeCell ref="N8:O8"/>
    <mergeCell ref="P8:Q8"/>
    <mergeCell ref="R8:S8"/>
    <mergeCell ref="T8:U8"/>
    <mergeCell ref="V8:W8"/>
    <mergeCell ref="X8:Y8"/>
    <mergeCell ref="AX8:AY8"/>
    <mergeCell ref="AZ8:BA8"/>
    <mergeCell ref="BB8:BC8"/>
    <mergeCell ref="AL8:AM8"/>
    <mergeCell ref="AN8:AO8"/>
    <mergeCell ref="AP8:AQ8"/>
    <mergeCell ref="AR8:AS8"/>
    <mergeCell ref="AT8:AU8"/>
    <mergeCell ref="AV8:AW8"/>
    <mergeCell ref="A8:A12"/>
    <mergeCell ref="B8:B12"/>
    <mergeCell ref="H8:I8"/>
    <mergeCell ref="J8:K8"/>
    <mergeCell ref="L8:M8"/>
    <mergeCell ref="AT6:AU7"/>
    <mergeCell ref="AV6:AW7"/>
    <mergeCell ref="AX6:AY7"/>
    <mergeCell ref="J6:K7"/>
    <mergeCell ref="L6:M7"/>
    <mergeCell ref="N6:O7"/>
    <mergeCell ref="P6:Q7"/>
    <mergeCell ref="R6:S7"/>
    <mergeCell ref="T6:U7"/>
    <mergeCell ref="F6:F7"/>
    <mergeCell ref="H6:I7"/>
    <mergeCell ref="A5:A7"/>
    <mergeCell ref="C5:C7"/>
    <mergeCell ref="G5:G7"/>
    <mergeCell ref="B6:B7"/>
    <mergeCell ref="D6:D7"/>
    <mergeCell ref="E6:E7"/>
    <mergeCell ref="C9:C10"/>
    <mergeCell ref="AR5:AS5"/>
    <mergeCell ref="AZ6:BA7"/>
    <mergeCell ref="BB6:BC7"/>
    <mergeCell ref="AH6:AI7"/>
    <mergeCell ref="AJ6:AK7"/>
    <mergeCell ref="AL6:AM7"/>
    <mergeCell ref="AN6:AO7"/>
    <mergeCell ref="AP6:AQ7"/>
    <mergeCell ref="AR6:AS7"/>
    <mergeCell ref="V6:W7"/>
    <mergeCell ref="X6:Y7"/>
    <mergeCell ref="Z6:AA7"/>
    <mergeCell ref="AB6:AC7"/>
    <mergeCell ref="AD6:AE7"/>
    <mergeCell ref="AF6:AG7"/>
    <mergeCell ref="AT5:AU5"/>
    <mergeCell ref="AV5:AW5"/>
    <mergeCell ref="AX5:AY5"/>
    <mergeCell ref="AZ5:BA5"/>
    <mergeCell ref="BB5:BC5"/>
    <mergeCell ref="AF5:AG5"/>
    <mergeCell ref="AH5:AI5"/>
    <mergeCell ref="AJ5:AK5"/>
    <mergeCell ref="AL5:AM5"/>
    <mergeCell ref="AN5:AO5"/>
    <mergeCell ref="AP5:AQ5"/>
    <mergeCell ref="AN4:AO4"/>
    <mergeCell ref="AP4:AQ4"/>
    <mergeCell ref="T5:U5"/>
    <mergeCell ref="V5:W5"/>
    <mergeCell ref="X5:Y5"/>
    <mergeCell ref="Z5:AA5"/>
    <mergeCell ref="AB5:AC5"/>
    <mergeCell ref="AD5:AE5"/>
    <mergeCell ref="H5:I5"/>
    <mergeCell ref="J5:K5"/>
    <mergeCell ref="L5:M5"/>
    <mergeCell ref="N5:O5"/>
    <mergeCell ref="P5:Q5"/>
    <mergeCell ref="R5:S5"/>
    <mergeCell ref="AV3:AY3"/>
    <mergeCell ref="AZ3:BC3"/>
    <mergeCell ref="C3:C4"/>
    <mergeCell ref="D3:D4"/>
    <mergeCell ref="E3:E4"/>
    <mergeCell ref="F3:F4"/>
    <mergeCell ref="A3:A4"/>
    <mergeCell ref="B3:B4"/>
    <mergeCell ref="H4:I4"/>
    <mergeCell ref="J4:K4"/>
    <mergeCell ref="L4:M4"/>
    <mergeCell ref="AF3:AI3"/>
    <mergeCell ref="AJ3:AM3"/>
    <mergeCell ref="AN3:AQ3"/>
    <mergeCell ref="AR4:AS4"/>
    <mergeCell ref="AT4:AU4"/>
    <mergeCell ref="AV4:AW4"/>
    <mergeCell ref="AX4:AY4"/>
    <mergeCell ref="AZ4:BA4"/>
    <mergeCell ref="BB4:BC4"/>
    <mergeCell ref="AF4:AG4"/>
    <mergeCell ref="AH4:AI4"/>
    <mergeCell ref="AJ4:AK4"/>
    <mergeCell ref="AL4:AM4"/>
    <mergeCell ref="BI9:BI10"/>
    <mergeCell ref="BI6:BI7"/>
    <mergeCell ref="BE9:BE10"/>
    <mergeCell ref="G9:G10"/>
    <mergeCell ref="F9:F10"/>
    <mergeCell ref="E9:E10"/>
    <mergeCell ref="D9:D10"/>
    <mergeCell ref="G3:G4"/>
    <mergeCell ref="H3:K3"/>
    <mergeCell ref="L3:O3"/>
    <mergeCell ref="P3:S3"/>
    <mergeCell ref="N4:O4"/>
    <mergeCell ref="P4:Q4"/>
    <mergeCell ref="R4:S4"/>
    <mergeCell ref="T3:W3"/>
    <mergeCell ref="X3:AA3"/>
    <mergeCell ref="AB3:AE3"/>
    <mergeCell ref="T4:U4"/>
    <mergeCell ref="V4:W4"/>
    <mergeCell ref="X4:Y4"/>
    <mergeCell ref="Z4:AA4"/>
    <mergeCell ref="AB4:AC4"/>
    <mergeCell ref="AD4:AE4"/>
    <mergeCell ref="AR3:AU3"/>
  </mergeCells>
  <conditionalFormatting sqref="BF5:BF6 BF8:BF9 BF11:BF19">
    <cfRule type="cellIs" dxfId="156" priority="1" operator="between">
      <formula>"0.5"</formula>
      <formula>1</formula>
    </cfRule>
  </conditionalFormatting>
  <printOptions horizontalCentered="1" verticalCentered="1"/>
  <pageMargins left="0.35433070866141736" right="0.23622047244094491" top="0.35433070866141736" bottom="0.35433070866141736" header="0.31496062992125984" footer="0.31496062992125984"/>
  <pageSetup paperSize="41" scale="48" orientation="landscape"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I48"/>
  <sheetViews>
    <sheetView topLeftCell="D13" zoomScale="70" zoomScaleNormal="70" zoomScaleSheetLayoutView="100" workbookViewId="0">
      <selection activeCell="BG13" sqref="BG13"/>
    </sheetView>
  </sheetViews>
  <sheetFormatPr baseColWidth="10" defaultRowHeight="12.75" x14ac:dyDescent="0.2"/>
  <cols>
    <col min="1" max="1" width="43.42578125" style="27" customWidth="1"/>
    <col min="2" max="2" width="23" style="2" customWidth="1"/>
    <col min="3" max="3" width="57.140625" style="27" customWidth="1"/>
    <col min="4" max="4" width="30.42578125" style="27" customWidth="1"/>
    <col min="5" max="5" width="33.85546875" style="27" customWidth="1"/>
    <col min="6" max="6" width="23.42578125" style="27" customWidth="1"/>
    <col min="7" max="7" width="13.85546875" style="27" customWidth="1"/>
    <col min="8" max="55" width="3.5703125" style="27" customWidth="1"/>
    <col min="56" max="57" width="10.7109375" style="27" customWidth="1"/>
    <col min="58" max="58" width="11.42578125" style="27" customWidth="1"/>
    <col min="59" max="59" width="13.28515625" style="27" customWidth="1"/>
    <col min="60" max="60" width="14.28515625" style="27" customWidth="1"/>
    <col min="61" max="16384" width="11.42578125" style="27"/>
  </cols>
  <sheetData>
    <row r="1" spans="1:61" ht="15" x14ac:dyDescent="0.2">
      <c r="H1" s="28"/>
    </row>
    <row r="2" spans="1:61" ht="15.75" thickBot="1" x14ac:dyDescent="0.25">
      <c r="H2" s="28"/>
    </row>
    <row r="3" spans="1:61" ht="56.25" customHeight="1" x14ac:dyDescent="0.2">
      <c r="A3" s="977" t="s">
        <v>0</v>
      </c>
      <c r="B3" s="981" t="s">
        <v>1</v>
      </c>
      <c r="C3" s="977" t="s">
        <v>2</v>
      </c>
      <c r="D3" s="977" t="s">
        <v>3</v>
      </c>
      <c r="E3" s="977" t="s">
        <v>4</v>
      </c>
      <c r="F3" s="977" t="s">
        <v>5</v>
      </c>
      <c r="G3" s="977" t="s">
        <v>6</v>
      </c>
      <c r="H3" s="979" t="s">
        <v>7</v>
      </c>
      <c r="I3" s="979"/>
      <c r="J3" s="979"/>
      <c r="K3" s="979"/>
      <c r="L3" s="979" t="s">
        <v>8</v>
      </c>
      <c r="M3" s="979"/>
      <c r="N3" s="979"/>
      <c r="O3" s="979"/>
      <c r="P3" s="979" t="s">
        <v>9</v>
      </c>
      <c r="Q3" s="979"/>
      <c r="R3" s="979"/>
      <c r="S3" s="979"/>
      <c r="T3" s="979" t="s">
        <v>10</v>
      </c>
      <c r="U3" s="979"/>
      <c r="V3" s="979"/>
      <c r="W3" s="979"/>
      <c r="X3" s="979" t="s">
        <v>11</v>
      </c>
      <c r="Y3" s="979"/>
      <c r="Z3" s="979"/>
      <c r="AA3" s="979"/>
      <c r="AB3" s="979" t="s">
        <v>12</v>
      </c>
      <c r="AC3" s="979"/>
      <c r="AD3" s="979"/>
      <c r="AE3" s="979"/>
      <c r="AF3" s="979" t="s">
        <v>13</v>
      </c>
      <c r="AG3" s="979"/>
      <c r="AH3" s="979"/>
      <c r="AI3" s="979"/>
      <c r="AJ3" s="979" t="s">
        <v>14</v>
      </c>
      <c r="AK3" s="979"/>
      <c r="AL3" s="979"/>
      <c r="AM3" s="979"/>
      <c r="AN3" s="979" t="s">
        <v>15</v>
      </c>
      <c r="AO3" s="979"/>
      <c r="AP3" s="979"/>
      <c r="AQ3" s="979"/>
      <c r="AR3" s="979" t="s">
        <v>16</v>
      </c>
      <c r="AS3" s="979"/>
      <c r="AT3" s="979"/>
      <c r="AU3" s="979"/>
      <c r="AV3" s="979" t="s">
        <v>17</v>
      </c>
      <c r="AW3" s="979"/>
      <c r="AX3" s="979"/>
      <c r="AY3" s="979"/>
      <c r="AZ3" s="979" t="s">
        <v>18</v>
      </c>
      <c r="BA3" s="979"/>
      <c r="BB3" s="979"/>
      <c r="BC3" s="979"/>
      <c r="BD3" s="963" t="s">
        <v>66</v>
      </c>
      <c r="BE3" s="964" t="s">
        <v>67</v>
      </c>
      <c r="BF3" s="973" t="s">
        <v>68</v>
      </c>
      <c r="BG3" s="967" t="s">
        <v>69</v>
      </c>
      <c r="BH3" s="967" t="s">
        <v>70</v>
      </c>
    </row>
    <row r="4" spans="1:61" ht="69.75" customHeight="1" thickBot="1" x14ac:dyDescent="0.25">
      <c r="A4" s="978"/>
      <c r="B4" s="982"/>
      <c r="C4" s="978"/>
      <c r="D4" s="978"/>
      <c r="E4" s="978"/>
      <c r="F4" s="978"/>
      <c r="G4" s="978"/>
      <c r="H4" s="980" t="s">
        <v>19</v>
      </c>
      <c r="I4" s="980"/>
      <c r="J4" s="980" t="s">
        <v>20</v>
      </c>
      <c r="K4" s="980"/>
      <c r="L4" s="980" t="s">
        <v>19</v>
      </c>
      <c r="M4" s="980"/>
      <c r="N4" s="980" t="s">
        <v>20</v>
      </c>
      <c r="O4" s="980"/>
      <c r="P4" s="980" t="s">
        <v>19</v>
      </c>
      <c r="Q4" s="980"/>
      <c r="R4" s="980" t="s">
        <v>20</v>
      </c>
      <c r="S4" s="980"/>
      <c r="T4" s="980" t="s">
        <v>19</v>
      </c>
      <c r="U4" s="980"/>
      <c r="V4" s="980" t="s">
        <v>20</v>
      </c>
      <c r="W4" s="980"/>
      <c r="X4" s="980" t="s">
        <v>19</v>
      </c>
      <c r="Y4" s="980"/>
      <c r="Z4" s="980" t="s">
        <v>20</v>
      </c>
      <c r="AA4" s="980"/>
      <c r="AB4" s="980" t="s">
        <v>19</v>
      </c>
      <c r="AC4" s="980"/>
      <c r="AD4" s="980" t="s">
        <v>20</v>
      </c>
      <c r="AE4" s="980"/>
      <c r="AF4" s="980" t="s">
        <v>19</v>
      </c>
      <c r="AG4" s="980"/>
      <c r="AH4" s="980" t="s">
        <v>20</v>
      </c>
      <c r="AI4" s="980"/>
      <c r="AJ4" s="980" t="s">
        <v>19</v>
      </c>
      <c r="AK4" s="980"/>
      <c r="AL4" s="980" t="s">
        <v>20</v>
      </c>
      <c r="AM4" s="980"/>
      <c r="AN4" s="980" t="s">
        <v>19</v>
      </c>
      <c r="AO4" s="980"/>
      <c r="AP4" s="980" t="s">
        <v>20</v>
      </c>
      <c r="AQ4" s="980"/>
      <c r="AR4" s="980" t="s">
        <v>19</v>
      </c>
      <c r="AS4" s="980"/>
      <c r="AT4" s="980" t="s">
        <v>20</v>
      </c>
      <c r="AU4" s="980"/>
      <c r="AV4" s="980" t="s">
        <v>19</v>
      </c>
      <c r="AW4" s="980"/>
      <c r="AX4" s="980" t="s">
        <v>20</v>
      </c>
      <c r="AY4" s="980"/>
      <c r="AZ4" s="980" t="s">
        <v>19</v>
      </c>
      <c r="BA4" s="980"/>
      <c r="BB4" s="980" t="s">
        <v>20</v>
      </c>
      <c r="BC4" s="980"/>
      <c r="BD4" s="899"/>
      <c r="BE4" s="965"/>
      <c r="BF4" s="974"/>
      <c r="BG4" s="968"/>
      <c r="BH4" s="968"/>
    </row>
    <row r="5" spans="1:61" ht="51" x14ac:dyDescent="0.2">
      <c r="A5" s="1000" t="s">
        <v>21</v>
      </c>
      <c r="B5" s="43">
        <v>0.1</v>
      </c>
      <c r="C5" s="1000" t="s">
        <v>88</v>
      </c>
      <c r="D5" s="44" t="s">
        <v>75</v>
      </c>
      <c r="E5" s="44" t="s">
        <v>76</v>
      </c>
      <c r="F5" s="43">
        <v>0.1</v>
      </c>
      <c r="G5" s="1001">
        <v>1.1000000000000001</v>
      </c>
      <c r="H5" s="983"/>
      <c r="I5" s="983"/>
      <c r="J5" s="985"/>
      <c r="K5" s="985"/>
      <c r="L5" s="986">
        <v>355</v>
      </c>
      <c r="M5" s="987"/>
      <c r="N5" s="984">
        <v>50</v>
      </c>
      <c r="O5" s="984"/>
      <c r="P5" s="988">
        <v>87</v>
      </c>
      <c r="Q5" s="988"/>
      <c r="R5" s="984">
        <v>30</v>
      </c>
      <c r="S5" s="984"/>
      <c r="T5" s="983"/>
      <c r="U5" s="983"/>
      <c r="V5" s="984">
        <v>50</v>
      </c>
      <c r="W5" s="984"/>
      <c r="X5" s="983"/>
      <c r="Y5" s="983"/>
      <c r="Z5" s="984">
        <v>80</v>
      </c>
      <c r="AA5" s="984"/>
      <c r="AB5" s="983"/>
      <c r="AC5" s="983"/>
      <c r="AD5" s="984">
        <v>80</v>
      </c>
      <c r="AE5" s="984"/>
      <c r="AF5" s="983"/>
      <c r="AG5" s="983"/>
      <c r="AH5" s="984">
        <v>80</v>
      </c>
      <c r="AI5" s="984"/>
      <c r="AJ5" s="983"/>
      <c r="AK5" s="983"/>
      <c r="AL5" s="984">
        <v>80</v>
      </c>
      <c r="AM5" s="984"/>
      <c r="AN5" s="983"/>
      <c r="AO5" s="983"/>
      <c r="AP5" s="984">
        <v>50</v>
      </c>
      <c r="AQ5" s="984"/>
      <c r="AR5" s="983"/>
      <c r="AS5" s="983"/>
      <c r="AT5" s="984">
        <v>50</v>
      </c>
      <c r="AU5" s="984"/>
      <c r="AV5" s="983"/>
      <c r="AW5" s="983"/>
      <c r="AX5" s="984">
        <v>50</v>
      </c>
      <c r="AY5" s="984"/>
      <c r="AZ5" s="983"/>
      <c r="BA5" s="983"/>
      <c r="BB5" s="985"/>
      <c r="BC5" s="989"/>
      <c r="BD5" s="19">
        <f>H5+L5+P5+T5+X5+AB5+AF5+AJ5+AN5+AR5+AV5+AZ5</f>
        <v>442</v>
      </c>
      <c r="BE5" s="21">
        <f>J5+N5+R5+V5+Z5+AD5+AH5+AL5+AP5+AT5+AX5+BB5</f>
        <v>600</v>
      </c>
      <c r="BF5" s="22">
        <f>BD5/BE5</f>
        <v>0.73666666666666669</v>
      </c>
      <c r="BG5" s="23">
        <f>F5*BF5</f>
        <v>7.3666666666666672E-2</v>
      </c>
      <c r="BH5" s="23">
        <f>F5</f>
        <v>0.1</v>
      </c>
      <c r="BI5" s="257">
        <f>((J5+N5+R5)/BE5)*BH5</f>
        <v>1.3333333333333334E-2</v>
      </c>
    </row>
    <row r="6" spans="1:61" ht="12.75" customHeight="1" x14ac:dyDescent="0.2">
      <c r="A6" s="993"/>
      <c r="B6" s="999">
        <v>0.1</v>
      </c>
      <c r="C6" s="993"/>
      <c r="D6" s="1002" t="s">
        <v>77</v>
      </c>
      <c r="E6" s="1002" t="s">
        <v>78</v>
      </c>
      <c r="F6" s="999">
        <v>0.1</v>
      </c>
      <c r="G6" s="996"/>
      <c r="H6" s="990"/>
      <c r="I6" s="990"/>
      <c r="J6" s="990"/>
      <c r="K6" s="990"/>
      <c r="L6" s="998"/>
      <c r="M6" s="998"/>
      <c r="N6" s="990"/>
      <c r="O6" s="990"/>
      <c r="P6" s="998"/>
      <c r="Q6" s="998"/>
      <c r="R6" s="990"/>
      <c r="S6" s="990"/>
      <c r="T6" s="990"/>
      <c r="U6" s="990"/>
      <c r="V6" s="990"/>
      <c r="W6" s="990"/>
      <c r="X6" s="990"/>
      <c r="Y6" s="990"/>
      <c r="Z6" s="990"/>
      <c r="AA6" s="990"/>
      <c r="AB6" s="990"/>
      <c r="AC6" s="990"/>
      <c r="AD6" s="990"/>
      <c r="AE6" s="990"/>
      <c r="AF6" s="990"/>
      <c r="AG6" s="990"/>
      <c r="AH6" s="990"/>
      <c r="AI6" s="990"/>
      <c r="AJ6" s="990"/>
      <c r="AK6" s="990"/>
      <c r="AL6" s="990"/>
      <c r="AM6" s="990"/>
      <c r="AN6" s="990"/>
      <c r="AO6" s="990"/>
      <c r="AP6" s="992">
        <v>1</v>
      </c>
      <c r="AQ6" s="992"/>
      <c r="AR6" s="990"/>
      <c r="AS6" s="990"/>
      <c r="AT6" s="990"/>
      <c r="AU6" s="990"/>
      <c r="AV6" s="990"/>
      <c r="AW6" s="990"/>
      <c r="AX6" s="990"/>
      <c r="AY6" s="990"/>
      <c r="AZ6" s="990"/>
      <c r="BA6" s="990"/>
      <c r="BB6" s="990"/>
      <c r="BC6" s="991"/>
      <c r="BD6" s="961">
        <f t="shared" ref="BD6:BD19" si="0">H6+L6+P6+T6+X6+AB6+AF6+AJ6+AN6+AR6+AV6+AZ6</f>
        <v>0</v>
      </c>
      <c r="BE6" s="898">
        <f t="shared" ref="BE6:BE19" si="1">J6+N6+R6+V6+Z6+AD6+AH6+AL6+AP6+AT6+AX6+BB6</f>
        <v>1</v>
      </c>
      <c r="BF6" s="863">
        <f t="shared" ref="BF6:BF19" si="2">BD6/BE6</f>
        <v>0</v>
      </c>
      <c r="BG6" s="971">
        <f t="shared" ref="BG6:BG19" si="3">F6*BF6</f>
        <v>0</v>
      </c>
      <c r="BH6" s="971">
        <f t="shared" ref="BH6:BH19" si="4">F6</f>
        <v>0.1</v>
      </c>
      <c r="BI6" s="896">
        <f t="shared" ref="BI6:BI19" si="5">((J6+N6+R6)/BE6)*BH6</f>
        <v>0</v>
      </c>
    </row>
    <row r="7" spans="1:61" x14ac:dyDescent="0.2">
      <c r="A7" s="993"/>
      <c r="B7" s="999"/>
      <c r="C7" s="993"/>
      <c r="D7" s="1002"/>
      <c r="E7" s="1002"/>
      <c r="F7" s="999"/>
      <c r="G7" s="996"/>
      <c r="H7" s="990"/>
      <c r="I7" s="990"/>
      <c r="J7" s="990"/>
      <c r="K7" s="990"/>
      <c r="L7" s="998"/>
      <c r="M7" s="998"/>
      <c r="N7" s="990"/>
      <c r="O7" s="990"/>
      <c r="P7" s="998"/>
      <c r="Q7" s="998"/>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2"/>
      <c r="AQ7" s="992"/>
      <c r="AR7" s="990"/>
      <c r="AS7" s="990"/>
      <c r="AT7" s="990"/>
      <c r="AU7" s="990"/>
      <c r="AV7" s="990"/>
      <c r="AW7" s="990"/>
      <c r="AX7" s="990"/>
      <c r="AY7" s="990"/>
      <c r="AZ7" s="990"/>
      <c r="BA7" s="990"/>
      <c r="BB7" s="990"/>
      <c r="BC7" s="991"/>
      <c r="BD7" s="962"/>
      <c r="BE7" s="899"/>
      <c r="BF7" s="864"/>
      <c r="BG7" s="972"/>
      <c r="BH7" s="972"/>
      <c r="BI7" s="897"/>
    </row>
    <row r="8" spans="1:61" ht="51" customHeight="1" x14ac:dyDescent="0.2">
      <c r="A8" s="993" t="s">
        <v>27</v>
      </c>
      <c r="B8" s="994">
        <v>0.4</v>
      </c>
      <c r="C8" s="995" t="s">
        <v>89</v>
      </c>
      <c r="D8" s="30" t="s">
        <v>79</v>
      </c>
      <c r="E8" s="25" t="s">
        <v>30</v>
      </c>
      <c r="F8" s="31">
        <v>0.1</v>
      </c>
      <c r="G8" s="996">
        <v>2.1</v>
      </c>
      <c r="H8" s="990"/>
      <c r="I8" s="990"/>
      <c r="J8" s="997"/>
      <c r="K8" s="997"/>
      <c r="L8" s="998"/>
      <c r="M8" s="998"/>
      <c r="N8" s="997"/>
      <c r="O8" s="997"/>
      <c r="P8" s="998"/>
      <c r="Q8" s="998"/>
      <c r="R8" s="997"/>
      <c r="S8" s="997"/>
      <c r="T8" s="990"/>
      <c r="U8" s="990"/>
      <c r="V8" s="997"/>
      <c r="W8" s="997"/>
      <c r="X8" s="990"/>
      <c r="Y8" s="990"/>
      <c r="Z8" s="997"/>
      <c r="AA8" s="997"/>
      <c r="AB8" s="990"/>
      <c r="AC8" s="990"/>
      <c r="AD8" s="997"/>
      <c r="AE8" s="997"/>
      <c r="AF8" s="990"/>
      <c r="AG8" s="990"/>
      <c r="AH8" s="992">
        <v>50</v>
      </c>
      <c r="AI8" s="992"/>
      <c r="AJ8" s="990"/>
      <c r="AK8" s="990"/>
      <c r="AL8" s="997"/>
      <c r="AM8" s="997"/>
      <c r="AN8" s="990"/>
      <c r="AO8" s="990"/>
      <c r="AP8" s="997"/>
      <c r="AQ8" s="997"/>
      <c r="AR8" s="990"/>
      <c r="AS8" s="990"/>
      <c r="AT8" s="997"/>
      <c r="AU8" s="997"/>
      <c r="AV8" s="990"/>
      <c r="AW8" s="990"/>
      <c r="AX8" s="992">
        <v>51</v>
      </c>
      <c r="AY8" s="992"/>
      <c r="AZ8" s="991"/>
      <c r="BA8" s="1004"/>
      <c r="BB8" s="997"/>
      <c r="BC8" s="1003"/>
      <c r="BD8" s="19">
        <f t="shared" si="0"/>
        <v>0</v>
      </c>
      <c r="BE8" s="21">
        <f t="shared" si="1"/>
        <v>101</v>
      </c>
      <c r="BF8" s="22">
        <f t="shared" si="2"/>
        <v>0</v>
      </c>
      <c r="BG8" s="23">
        <f t="shared" si="3"/>
        <v>0</v>
      </c>
      <c r="BH8" s="23">
        <f t="shared" si="4"/>
        <v>0.1</v>
      </c>
      <c r="BI8" s="257">
        <f t="shared" si="5"/>
        <v>0</v>
      </c>
    </row>
    <row r="9" spans="1:61" ht="38.25" x14ac:dyDescent="0.2">
      <c r="A9" s="993"/>
      <c r="B9" s="994"/>
      <c r="C9" s="995"/>
      <c r="D9" s="30" t="s">
        <v>80</v>
      </c>
      <c r="E9" s="25" t="s">
        <v>36</v>
      </c>
      <c r="F9" s="31">
        <v>0.1</v>
      </c>
      <c r="G9" s="996"/>
      <c r="H9" s="990"/>
      <c r="I9" s="990"/>
      <c r="J9" s="997"/>
      <c r="K9" s="997"/>
      <c r="L9" s="998"/>
      <c r="M9" s="998"/>
      <c r="N9" s="997"/>
      <c r="O9" s="997"/>
      <c r="P9" s="998"/>
      <c r="Q9" s="998"/>
      <c r="R9" s="997"/>
      <c r="S9" s="997"/>
      <c r="T9" s="990"/>
      <c r="U9" s="990"/>
      <c r="V9" s="997"/>
      <c r="W9" s="997"/>
      <c r="X9" s="990"/>
      <c r="Y9" s="990"/>
      <c r="Z9" s="997"/>
      <c r="AA9" s="997"/>
      <c r="AB9" s="990"/>
      <c r="AC9" s="990"/>
      <c r="AD9" s="992">
        <v>710</v>
      </c>
      <c r="AE9" s="992"/>
      <c r="AF9" s="990"/>
      <c r="AG9" s="990"/>
      <c r="AH9" s="992">
        <v>703</v>
      </c>
      <c r="AI9" s="992"/>
      <c r="AJ9" s="990"/>
      <c r="AK9" s="990"/>
      <c r="AL9" s="992">
        <v>700</v>
      </c>
      <c r="AM9" s="992"/>
      <c r="AN9" s="990"/>
      <c r="AO9" s="990"/>
      <c r="AP9" s="992">
        <v>700</v>
      </c>
      <c r="AQ9" s="992"/>
      <c r="AR9" s="990"/>
      <c r="AS9" s="990"/>
      <c r="AT9" s="997"/>
      <c r="AU9" s="997"/>
      <c r="AV9" s="990"/>
      <c r="AW9" s="990"/>
      <c r="AX9" s="997"/>
      <c r="AY9" s="997"/>
      <c r="AZ9" s="991"/>
      <c r="BA9" s="1004"/>
      <c r="BB9" s="997"/>
      <c r="BC9" s="1003"/>
      <c r="BD9" s="19">
        <f t="shared" si="0"/>
        <v>0</v>
      </c>
      <c r="BE9" s="21">
        <f t="shared" si="1"/>
        <v>2813</v>
      </c>
      <c r="BF9" s="22">
        <f t="shared" si="2"/>
        <v>0</v>
      </c>
      <c r="BG9" s="23">
        <f t="shared" si="3"/>
        <v>0</v>
      </c>
      <c r="BH9" s="23">
        <f t="shared" si="4"/>
        <v>0.1</v>
      </c>
      <c r="BI9" s="257">
        <f t="shared" si="5"/>
        <v>0</v>
      </c>
    </row>
    <row r="10" spans="1:61" ht="12.75" customHeight="1" x14ac:dyDescent="0.2">
      <c r="A10" s="993"/>
      <c r="B10" s="994"/>
      <c r="C10" s="993" t="s">
        <v>90</v>
      </c>
      <c r="D10" s="993" t="s">
        <v>91</v>
      </c>
      <c r="E10" s="1005" t="s">
        <v>33</v>
      </c>
      <c r="F10" s="994">
        <v>0.05</v>
      </c>
      <c r="G10" s="996">
        <v>2.2000000000000002</v>
      </c>
      <c r="H10" s="990"/>
      <c r="I10" s="990"/>
      <c r="J10" s="990"/>
      <c r="K10" s="990"/>
      <c r="L10" s="998"/>
      <c r="M10" s="998"/>
      <c r="N10" s="990"/>
      <c r="O10" s="990"/>
      <c r="P10" s="998"/>
      <c r="Q10" s="998"/>
      <c r="R10" s="990"/>
      <c r="S10" s="990"/>
      <c r="T10" s="990"/>
      <c r="U10" s="990"/>
      <c r="V10" s="992">
        <v>2</v>
      </c>
      <c r="W10" s="992"/>
      <c r="X10" s="990"/>
      <c r="Y10" s="990"/>
      <c r="Z10" s="992">
        <v>2</v>
      </c>
      <c r="AA10" s="992"/>
      <c r="AB10" s="990"/>
      <c r="AC10" s="990"/>
      <c r="AD10" s="992">
        <v>2</v>
      </c>
      <c r="AE10" s="992"/>
      <c r="AF10" s="990"/>
      <c r="AG10" s="990"/>
      <c r="AH10" s="990"/>
      <c r="AI10" s="990"/>
      <c r="AJ10" s="990"/>
      <c r="AK10" s="990"/>
      <c r="AL10" s="990"/>
      <c r="AM10" s="990"/>
      <c r="AN10" s="990"/>
      <c r="AO10" s="990"/>
      <c r="AP10" s="990"/>
      <c r="AQ10" s="990"/>
      <c r="AR10" s="990"/>
      <c r="AS10" s="990"/>
      <c r="AT10" s="990"/>
      <c r="AU10" s="990"/>
      <c r="AV10" s="990"/>
      <c r="AW10" s="990"/>
      <c r="AX10" s="990"/>
      <c r="AY10" s="990"/>
      <c r="AZ10" s="990"/>
      <c r="BA10" s="990"/>
      <c r="BB10" s="990"/>
      <c r="BC10" s="991"/>
      <c r="BD10" s="961">
        <f t="shared" si="0"/>
        <v>0</v>
      </c>
      <c r="BE10" s="898">
        <f t="shared" si="1"/>
        <v>6</v>
      </c>
      <c r="BF10" s="863">
        <f t="shared" si="2"/>
        <v>0</v>
      </c>
      <c r="BG10" s="971">
        <f t="shared" si="3"/>
        <v>0</v>
      </c>
      <c r="BH10" s="971">
        <f t="shared" si="4"/>
        <v>0.05</v>
      </c>
      <c r="BI10" s="896">
        <f t="shared" si="5"/>
        <v>0</v>
      </c>
    </row>
    <row r="11" spans="1:61" ht="23.25" customHeight="1" x14ac:dyDescent="0.2">
      <c r="A11" s="993"/>
      <c r="B11" s="994"/>
      <c r="C11" s="993"/>
      <c r="D11" s="993"/>
      <c r="E11" s="1005"/>
      <c r="F11" s="994"/>
      <c r="G11" s="996"/>
      <c r="H11" s="990"/>
      <c r="I11" s="990"/>
      <c r="J11" s="990"/>
      <c r="K11" s="990"/>
      <c r="L11" s="998"/>
      <c r="M11" s="998"/>
      <c r="N11" s="990"/>
      <c r="O11" s="990"/>
      <c r="P11" s="998"/>
      <c r="Q11" s="998"/>
      <c r="R11" s="990"/>
      <c r="S11" s="990"/>
      <c r="T11" s="990"/>
      <c r="U11" s="990"/>
      <c r="V11" s="992"/>
      <c r="W11" s="992"/>
      <c r="X11" s="990"/>
      <c r="Y11" s="990"/>
      <c r="Z11" s="992"/>
      <c r="AA11" s="992"/>
      <c r="AB11" s="990"/>
      <c r="AC11" s="990"/>
      <c r="AD11" s="992"/>
      <c r="AE11" s="992"/>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1"/>
      <c r="BD11" s="962"/>
      <c r="BE11" s="899"/>
      <c r="BF11" s="864"/>
      <c r="BG11" s="972"/>
      <c r="BH11" s="972"/>
      <c r="BI11" s="897"/>
    </row>
    <row r="12" spans="1:61" ht="38.25" x14ac:dyDescent="0.2">
      <c r="A12" s="993"/>
      <c r="B12" s="994"/>
      <c r="C12" s="35" t="s">
        <v>92</v>
      </c>
      <c r="D12" s="32" t="s">
        <v>81</v>
      </c>
      <c r="E12" s="32" t="s">
        <v>82</v>
      </c>
      <c r="F12" s="31">
        <v>0.15</v>
      </c>
      <c r="G12" s="34">
        <v>2.2999999999999998</v>
      </c>
      <c r="H12" s="1006">
        <v>30</v>
      </c>
      <c r="I12" s="1007"/>
      <c r="J12" s="992">
        <v>12</v>
      </c>
      <c r="K12" s="992"/>
      <c r="L12" s="1008">
        <v>2</v>
      </c>
      <c r="M12" s="1008"/>
      <c r="N12" s="997"/>
      <c r="O12" s="997"/>
      <c r="P12" s="1009">
        <v>1</v>
      </c>
      <c r="Q12" s="1009"/>
      <c r="R12" s="997"/>
      <c r="S12" s="997"/>
      <c r="T12" s="990"/>
      <c r="U12" s="990"/>
      <c r="V12" s="992">
        <v>2</v>
      </c>
      <c r="W12" s="992"/>
      <c r="X12" s="990"/>
      <c r="Y12" s="990"/>
      <c r="Z12" s="997"/>
      <c r="AA12" s="997"/>
      <c r="AB12" s="990"/>
      <c r="AC12" s="990"/>
      <c r="AD12" s="997"/>
      <c r="AE12" s="997"/>
      <c r="AF12" s="990"/>
      <c r="AG12" s="990"/>
      <c r="AH12" s="997"/>
      <c r="AI12" s="997"/>
      <c r="AJ12" s="990"/>
      <c r="AK12" s="990"/>
      <c r="AL12" s="997"/>
      <c r="AM12" s="997"/>
      <c r="AN12" s="990"/>
      <c r="AO12" s="990"/>
      <c r="AP12" s="997"/>
      <c r="AQ12" s="997"/>
      <c r="AR12" s="990"/>
      <c r="AS12" s="990"/>
      <c r="AT12" s="997"/>
      <c r="AU12" s="997"/>
      <c r="AV12" s="990"/>
      <c r="AW12" s="990"/>
      <c r="AX12" s="997"/>
      <c r="AY12" s="997"/>
      <c r="AZ12" s="991"/>
      <c r="BA12" s="1004"/>
      <c r="BB12" s="997"/>
      <c r="BC12" s="1003"/>
      <c r="BD12" s="19">
        <f t="shared" si="0"/>
        <v>33</v>
      </c>
      <c r="BE12" s="21">
        <f t="shared" si="1"/>
        <v>14</v>
      </c>
      <c r="BF12" s="22">
        <f t="shared" si="2"/>
        <v>2.3571428571428572</v>
      </c>
      <c r="BG12" s="23">
        <f>F12*BF12</f>
        <v>0.35357142857142859</v>
      </c>
      <c r="BH12" s="23">
        <f>F12</f>
        <v>0.15</v>
      </c>
      <c r="BI12" s="257">
        <f t="shared" si="5"/>
        <v>0.12857142857142856</v>
      </c>
    </row>
    <row r="13" spans="1:61" ht="38.25" x14ac:dyDescent="0.2">
      <c r="A13" s="35" t="s">
        <v>39</v>
      </c>
      <c r="B13" s="31">
        <v>0.1</v>
      </c>
      <c r="C13" s="35" t="s">
        <v>40</v>
      </c>
      <c r="D13" s="32" t="s">
        <v>83</v>
      </c>
      <c r="E13" s="32" t="s">
        <v>42</v>
      </c>
      <c r="F13" s="31">
        <v>0.1</v>
      </c>
      <c r="G13" s="34">
        <v>3.1</v>
      </c>
      <c r="H13" s="990"/>
      <c r="I13" s="990"/>
      <c r="J13" s="997"/>
      <c r="K13" s="997"/>
      <c r="L13" s="998"/>
      <c r="M13" s="998"/>
      <c r="N13" s="997"/>
      <c r="O13" s="997"/>
      <c r="P13" s="998"/>
      <c r="Q13" s="998"/>
      <c r="R13" s="997"/>
      <c r="S13" s="997"/>
      <c r="T13" s="990"/>
      <c r="U13" s="990"/>
      <c r="V13" s="997"/>
      <c r="W13" s="997"/>
      <c r="X13" s="990"/>
      <c r="Y13" s="990"/>
      <c r="Z13" s="997"/>
      <c r="AA13" s="997"/>
      <c r="AB13" s="990"/>
      <c r="AC13" s="990"/>
      <c r="AD13" s="997"/>
      <c r="AE13" s="997"/>
      <c r="AF13" s="990"/>
      <c r="AG13" s="990"/>
      <c r="AH13" s="992">
        <v>50</v>
      </c>
      <c r="AI13" s="992"/>
      <c r="AJ13" s="990"/>
      <c r="AK13" s="990"/>
      <c r="AL13" s="997"/>
      <c r="AM13" s="997"/>
      <c r="AN13" s="990"/>
      <c r="AO13" s="990"/>
      <c r="AP13" s="997"/>
      <c r="AQ13" s="997"/>
      <c r="AR13" s="990"/>
      <c r="AS13" s="990"/>
      <c r="AT13" s="997"/>
      <c r="AU13" s="997"/>
      <c r="AV13" s="990"/>
      <c r="AW13" s="990"/>
      <c r="AX13" s="992">
        <v>51</v>
      </c>
      <c r="AY13" s="992"/>
      <c r="AZ13" s="991"/>
      <c r="BA13" s="1004"/>
      <c r="BB13" s="997"/>
      <c r="BC13" s="1003"/>
      <c r="BD13" s="19">
        <f t="shared" si="0"/>
        <v>0</v>
      </c>
      <c r="BE13" s="21">
        <f t="shared" si="1"/>
        <v>101</v>
      </c>
      <c r="BF13" s="22">
        <f t="shared" si="2"/>
        <v>0</v>
      </c>
      <c r="BG13" s="23">
        <f t="shared" si="3"/>
        <v>0</v>
      </c>
      <c r="BH13" s="23">
        <f t="shared" si="4"/>
        <v>0.1</v>
      </c>
      <c r="BI13" s="257">
        <f t="shared" si="5"/>
        <v>0</v>
      </c>
    </row>
    <row r="14" spans="1:61" ht="38.25" x14ac:dyDescent="0.2">
      <c r="A14" s="35" t="s">
        <v>43</v>
      </c>
      <c r="B14" s="31">
        <v>0.05</v>
      </c>
      <c r="C14" s="35" t="s">
        <v>84</v>
      </c>
      <c r="D14" s="29" t="s">
        <v>85</v>
      </c>
      <c r="E14" s="29" t="s">
        <v>86</v>
      </c>
      <c r="F14" s="31">
        <v>0.05</v>
      </c>
      <c r="G14" s="34">
        <v>4.0999999999999996</v>
      </c>
      <c r="H14" s="990"/>
      <c r="I14" s="990"/>
      <c r="J14" s="997"/>
      <c r="K14" s="997"/>
      <c r="L14" s="998"/>
      <c r="M14" s="998"/>
      <c r="N14" s="997"/>
      <c r="O14" s="997"/>
      <c r="P14" s="998"/>
      <c r="Q14" s="998"/>
      <c r="R14" s="997"/>
      <c r="S14" s="997"/>
      <c r="T14" s="990"/>
      <c r="U14" s="990"/>
      <c r="V14" s="992">
        <v>1</v>
      </c>
      <c r="W14" s="992"/>
      <c r="X14" s="990"/>
      <c r="Y14" s="990"/>
      <c r="Z14" s="997"/>
      <c r="AA14" s="997"/>
      <c r="AB14" s="990"/>
      <c r="AC14" s="990"/>
      <c r="AD14" s="997"/>
      <c r="AE14" s="997"/>
      <c r="AF14" s="990"/>
      <c r="AG14" s="990"/>
      <c r="AH14" s="997"/>
      <c r="AI14" s="997"/>
      <c r="AJ14" s="990"/>
      <c r="AK14" s="990"/>
      <c r="AL14" s="992">
        <v>1</v>
      </c>
      <c r="AM14" s="992"/>
      <c r="AN14" s="990"/>
      <c r="AO14" s="990"/>
      <c r="AP14" s="997"/>
      <c r="AQ14" s="997"/>
      <c r="AR14" s="990"/>
      <c r="AS14" s="990"/>
      <c r="AT14" s="997"/>
      <c r="AU14" s="997"/>
      <c r="AV14" s="990"/>
      <c r="AW14" s="990"/>
      <c r="AX14" s="997"/>
      <c r="AY14" s="997"/>
      <c r="AZ14" s="991"/>
      <c r="BA14" s="1004"/>
      <c r="BB14" s="997"/>
      <c r="BC14" s="1003"/>
      <c r="BD14" s="19">
        <f t="shared" si="0"/>
        <v>0</v>
      </c>
      <c r="BE14" s="21">
        <f t="shared" si="1"/>
        <v>2</v>
      </c>
      <c r="BF14" s="22">
        <f t="shared" si="2"/>
        <v>0</v>
      </c>
      <c r="BG14" s="23">
        <f t="shared" si="3"/>
        <v>0</v>
      </c>
      <c r="BH14" s="23">
        <f t="shared" si="4"/>
        <v>0.05</v>
      </c>
      <c r="BI14" s="257">
        <f t="shared" si="5"/>
        <v>0</v>
      </c>
    </row>
    <row r="15" spans="1:61" ht="63.75" x14ac:dyDescent="0.2">
      <c r="A15" s="35" t="s">
        <v>47</v>
      </c>
      <c r="B15" s="31">
        <v>0.05</v>
      </c>
      <c r="C15" s="35" t="s">
        <v>93</v>
      </c>
      <c r="D15" s="32" t="s">
        <v>49</v>
      </c>
      <c r="E15" s="29" t="s">
        <v>94</v>
      </c>
      <c r="F15" s="31">
        <v>0.05</v>
      </c>
      <c r="G15" s="34">
        <v>5.0999999999999996</v>
      </c>
      <c r="H15" s="990"/>
      <c r="I15" s="990"/>
      <c r="J15" s="997"/>
      <c r="K15" s="997"/>
      <c r="L15" s="1008">
        <v>0</v>
      </c>
      <c r="M15" s="1008"/>
      <c r="N15" s="992">
        <v>1</v>
      </c>
      <c r="O15" s="992"/>
      <c r="P15" s="998"/>
      <c r="Q15" s="998"/>
      <c r="R15" s="997"/>
      <c r="S15" s="997"/>
      <c r="T15" s="990"/>
      <c r="U15" s="990"/>
      <c r="V15" s="997"/>
      <c r="W15" s="997"/>
      <c r="X15" s="990"/>
      <c r="Y15" s="990"/>
      <c r="Z15" s="992">
        <v>1</v>
      </c>
      <c r="AA15" s="992"/>
      <c r="AB15" s="990"/>
      <c r="AC15" s="990"/>
      <c r="AD15" s="997"/>
      <c r="AE15" s="997"/>
      <c r="AF15" s="990"/>
      <c r="AG15" s="990"/>
      <c r="AH15" s="997"/>
      <c r="AI15" s="997"/>
      <c r="AJ15" s="990"/>
      <c r="AK15" s="990"/>
      <c r="AL15" s="997"/>
      <c r="AM15" s="997"/>
      <c r="AN15" s="990"/>
      <c r="AO15" s="990"/>
      <c r="AP15" s="997"/>
      <c r="AQ15" s="997"/>
      <c r="AR15" s="990"/>
      <c r="AS15" s="990"/>
      <c r="AT15" s="997"/>
      <c r="AU15" s="997"/>
      <c r="AV15" s="990"/>
      <c r="AW15" s="990"/>
      <c r="AX15" s="997"/>
      <c r="AY15" s="997"/>
      <c r="AZ15" s="991"/>
      <c r="BA15" s="1004"/>
      <c r="BB15" s="997"/>
      <c r="BC15" s="1003"/>
      <c r="BD15" s="19">
        <f t="shared" si="0"/>
        <v>0</v>
      </c>
      <c r="BE15" s="21">
        <f t="shared" si="1"/>
        <v>2</v>
      </c>
      <c r="BF15" s="22">
        <f t="shared" si="2"/>
        <v>0</v>
      </c>
      <c r="BG15" s="23">
        <f t="shared" si="3"/>
        <v>0</v>
      </c>
      <c r="BH15" s="23">
        <f t="shared" si="4"/>
        <v>0.05</v>
      </c>
      <c r="BI15" s="257">
        <f t="shared" si="5"/>
        <v>2.5000000000000001E-2</v>
      </c>
    </row>
    <row r="16" spans="1:61" ht="86.25" customHeight="1" x14ac:dyDescent="0.2">
      <c r="A16" s="35" t="s">
        <v>51</v>
      </c>
      <c r="B16" s="31">
        <v>0.05</v>
      </c>
      <c r="C16" s="35" t="s">
        <v>95</v>
      </c>
      <c r="D16" s="32" t="s">
        <v>53</v>
      </c>
      <c r="E16" s="29" t="s">
        <v>54</v>
      </c>
      <c r="F16" s="31">
        <v>0.05</v>
      </c>
      <c r="G16" s="34">
        <v>6.1</v>
      </c>
      <c r="H16" s="990"/>
      <c r="I16" s="990"/>
      <c r="J16" s="997"/>
      <c r="K16" s="997"/>
      <c r="L16" s="998"/>
      <c r="M16" s="998"/>
      <c r="N16" s="997"/>
      <c r="O16" s="997"/>
      <c r="P16" s="998"/>
      <c r="Q16" s="998"/>
      <c r="R16" s="997"/>
      <c r="S16" s="997"/>
      <c r="T16" s="990"/>
      <c r="U16" s="990"/>
      <c r="V16" s="992">
        <v>1</v>
      </c>
      <c r="W16" s="992"/>
      <c r="X16" s="990"/>
      <c r="Y16" s="990"/>
      <c r="Z16" s="997"/>
      <c r="AA16" s="997"/>
      <c r="AB16" s="990"/>
      <c r="AC16" s="990"/>
      <c r="AD16" s="997"/>
      <c r="AE16" s="997"/>
      <c r="AF16" s="990"/>
      <c r="AG16" s="990"/>
      <c r="AH16" s="992">
        <v>1</v>
      </c>
      <c r="AI16" s="992"/>
      <c r="AJ16" s="990"/>
      <c r="AK16" s="990"/>
      <c r="AL16" s="997"/>
      <c r="AM16" s="997"/>
      <c r="AN16" s="990"/>
      <c r="AO16" s="990"/>
      <c r="AP16" s="997"/>
      <c r="AQ16" s="997"/>
      <c r="AR16" s="990"/>
      <c r="AS16" s="990"/>
      <c r="AT16" s="992">
        <v>1</v>
      </c>
      <c r="AU16" s="992"/>
      <c r="AV16" s="990"/>
      <c r="AW16" s="990"/>
      <c r="AX16" s="997"/>
      <c r="AY16" s="997"/>
      <c r="AZ16" s="991"/>
      <c r="BA16" s="1004"/>
      <c r="BB16" s="992">
        <v>1</v>
      </c>
      <c r="BC16" s="1010"/>
      <c r="BD16" s="19">
        <f t="shared" si="0"/>
        <v>0</v>
      </c>
      <c r="BE16" s="21">
        <f t="shared" si="1"/>
        <v>4</v>
      </c>
      <c r="BF16" s="22">
        <f t="shared" si="2"/>
        <v>0</v>
      </c>
      <c r="BG16" s="23">
        <f t="shared" si="3"/>
        <v>0</v>
      </c>
      <c r="BH16" s="23">
        <f t="shared" si="4"/>
        <v>0.05</v>
      </c>
      <c r="BI16" s="257">
        <f t="shared" si="5"/>
        <v>0</v>
      </c>
    </row>
    <row r="17" spans="1:61" ht="71.25" customHeight="1" x14ac:dyDescent="0.2">
      <c r="A17" s="35" t="s">
        <v>55</v>
      </c>
      <c r="B17" s="31">
        <v>7.0000000000000007E-2</v>
      </c>
      <c r="C17" s="35" t="s">
        <v>96</v>
      </c>
      <c r="D17" s="25" t="s">
        <v>87</v>
      </c>
      <c r="E17" s="29" t="s">
        <v>58</v>
      </c>
      <c r="F17" s="31">
        <v>7.0000000000000007E-2</v>
      </c>
      <c r="G17" s="34">
        <v>7.1</v>
      </c>
      <c r="H17" s="990"/>
      <c r="I17" s="990"/>
      <c r="J17" s="997"/>
      <c r="K17" s="997"/>
      <c r="L17" s="998"/>
      <c r="M17" s="998"/>
      <c r="N17" s="997"/>
      <c r="O17" s="997"/>
      <c r="P17" s="1009">
        <v>1</v>
      </c>
      <c r="Q17" s="1009"/>
      <c r="R17" s="992">
        <v>1</v>
      </c>
      <c r="S17" s="992"/>
      <c r="T17" s="990"/>
      <c r="U17" s="990"/>
      <c r="V17" s="997"/>
      <c r="W17" s="997"/>
      <c r="X17" s="990"/>
      <c r="Y17" s="990"/>
      <c r="Z17" s="992">
        <v>1</v>
      </c>
      <c r="AA17" s="992"/>
      <c r="AB17" s="990"/>
      <c r="AC17" s="990"/>
      <c r="AD17" s="997"/>
      <c r="AE17" s="997"/>
      <c r="AF17" s="990"/>
      <c r="AG17" s="990"/>
      <c r="AH17" s="992">
        <v>1</v>
      </c>
      <c r="AI17" s="992"/>
      <c r="AJ17" s="990"/>
      <c r="AK17" s="990"/>
      <c r="AL17" s="997"/>
      <c r="AM17" s="997"/>
      <c r="AN17" s="990"/>
      <c r="AO17" s="990"/>
      <c r="AP17" s="992">
        <v>2</v>
      </c>
      <c r="AQ17" s="992"/>
      <c r="AR17" s="990"/>
      <c r="AS17" s="990"/>
      <c r="AT17" s="997"/>
      <c r="AU17" s="997"/>
      <c r="AV17" s="990"/>
      <c r="AW17" s="990"/>
      <c r="AX17" s="997"/>
      <c r="AY17" s="997"/>
      <c r="AZ17" s="991"/>
      <c r="BA17" s="1004"/>
      <c r="BB17" s="997"/>
      <c r="BC17" s="1003"/>
      <c r="BD17" s="19">
        <f t="shared" si="0"/>
        <v>1</v>
      </c>
      <c r="BE17" s="21">
        <f t="shared" si="1"/>
        <v>5</v>
      </c>
      <c r="BF17" s="22">
        <f t="shared" si="2"/>
        <v>0.2</v>
      </c>
      <c r="BG17" s="23">
        <f t="shared" si="3"/>
        <v>1.4000000000000002E-2</v>
      </c>
      <c r="BH17" s="23">
        <f t="shared" si="4"/>
        <v>7.0000000000000007E-2</v>
      </c>
      <c r="BI17" s="257">
        <f t="shared" si="5"/>
        <v>1.4000000000000002E-2</v>
      </c>
    </row>
    <row r="18" spans="1:61" ht="38.25" x14ac:dyDescent="0.2">
      <c r="A18" s="1011" t="s">
        <v>59</v>
      </c>
      <c r="B18" s="31">
        <v>0.05</v>
      </c>
      <c r="C18" s="35" t="s">
        <v>97</v>
      </c>
      <c r="D18" s="25" t="s">
        <v>98</v>
      </c>
      <c r="E18" s="25" t="s">
        <v>62</v>
      </c>
      <c r="F18" s="31">
        <v>0.05</v>
      </c>
      <c r="G18" s="34">
        <v>8.1</v>
      </c>
      <c r="H18" s="1006">
        <v>1</v>
      </c>
      <c r="I18" s="1007"/>
      <c r="J18" s="992">
        <v>1</v>
      </c>
      <c r="K18" s="992"/>
      <c r="L18" s="1008">
        <v>1</v>
      </c>
      <c r="M18" s="1008"/>
      <c r="N18" s="992">
        <v>1</v>
      </c>
      <c r="O18" s="992"/>
      <c r="P18" s="1009">
        <v>1</v>
      </c>
      <c r="Q18" s="1009"/>
      <c r="R18" s="992">
        <v>1</v>
      </c>
      <c r="S18" s="992"/>
      <c r="T18" s="990"/>
      <c r="U18" s="990"/>
      <c r="V18" s="992">
        <v>1</v>
      </c>
      <c r="W18" s="992"/>
      <c r="X18" s="990"/>
      <c r="Y18" s="990"/>
      <c r="Z18" s="992">
        <v>1</v>
      </c>
      <c r="AA18" s="992"/>
      <c r="AB18" s="990"/>
      <c r="AC18" s="990"/>
      <c r="AD18" s="992">
        <v>1</v>
      </c>
      <c r="AE18" s="992"/>
      <c r="AF18" s="990"/>
      <c r="AG18" s="990"/>
      <c r="AH18" s="992">
        <v>1</v>
      </c>
      <c r="AI18" s="992"/>
      <c r="AJ18" s="990"/>
      <c r="AK18" s="990"/>
      <c r="AL18" s="992">
        <v>1</v>
      </c>
      <c r="AM18" s="992"/>
      <c r="AN18" s="990"/>
      <c r="AO18" s="990"/>
      <c r="AP18" s="992">
        <v>1</v>
      </c>
      <c r="AQ18" s="992"/>
      <c r="AR18" s="990"/>
      <c r="AS18" s="990"/>
      <c r="AT18" s="992">
        <v>1</v>
      </c>
      <c r="AU18" s="992"/>
      <c r="AV18" s="990"/>
      <c r="AW18" s="990"/>
      <c r="AX18" s="992">
        <v>1</v>
      </c>
      <c r="AY18" s="992"/>
      <c r="AZ18" s="991"/>
      <c r="BA18" s="1004"/>
      <c r="BB18" s="992">
        <v>1</v>
      </c>
      <c r="BC18" s="1010"/>
      <c r="BD18" s="19">
        <f t="shared" si="0"/>
        <v>3</v>
      </c>
      <c r="BE18" s="21">
        <f t="shared" si="1"/>
        <v>12</v>
      </c>
      <c r="BF18" s="22">
        <f t="shared" si="2"/>
        <v>0.25</v>
      </c>
      <c r="BG18" s="23">
        <f t="shared" si="3"/>
        <v>1.2500000000000001E-2</v>
      </c>
      <c r="BH18" s="23">
        <f t="shared" si="4"/>
        <v>0.05</v>
      </c>
      <c r="BI18" s="257">
        <f t="shared" si="5"/>
        <v>1.2500000000000001E-2</v>
      </c>
    </row>
    <row r="19" spans="1:61" ht="57.75" customHeight="1" thickBot="1" x14ac:dyDescent="0.25">
      <c r="A19" s="1012"/>
      <c r="B19" s="38">
        <v>0.03</v>
      </c>
      <c r="C19" s="39" t="s">
        <v>63</v>
      </c>
      <c r="D19" s="40" t="s">
        <v>64</v>
      </c>
      <c r="E19" s="41" t="s">
        <v>65</v>
      </c>
      <c r="F19" s="38">
        <v>0.03</v>
      </c>
      <c r="G19" s="42">
        <v>8.1999999999999993</v>
      </c>
      <c r="H19" s="1014"/>
      <c r="I19" s="1014"/>
      <c r="J19" s="1015"/>
      <c r="K19" s="1015"/>
      <c r="L19" s="1016"/>
      <c r="M19" s="1016"/>
      <c r="N19" s="1015"/>
      <c r="O19" s="1015"/>
      <c r="P19" s="1017">
        <v>1</v>
      </c>
      <c r="Q19" s="1017"/>
      <c r="R19" s="1013">
        <v>1</v>
      </c>
      <c r="S19" s="1013"/>
      <c r="T19" s="1014"/>
      <c r="U19" s="1014"/>
      <c r="V19" s="1013">
        <v>1</v>
      </c>
      <c r="W19" s="1013"/>
      <c r="X19" s="1014"/>
      <c r="Y19" s="1014"/>
      <c r="Z19" s="1013">
        <v>1</v>
      </c>
      <c r="AA19" s="1013"/>
      <c r="AB19" s="1014"/>
      <c r="AC19" s="1014"/>
      <c r="AD19" s="1013">
        <v>1</v>
      </c>
      <c r="AE19" s="1013"/>
      <c r="AF19" s="1014"/>
      <c r="AG19" s="1014"/>
      <c r="AH19" s="1013">
        <v>1</v>
      </c>
      <c r="AI19" s="1013"/>
      <c r="AJ19" s="1014"/>
      <c r="AK19" s="1014"/>
      <c r="AL19" s="1013">
        <v>1</v>
      </c>
      <c r="AM19" s="1013"/>
      <c r="AN19" s="1014"/>
      <c r="AO19" s="1014"/>
      <c r="AP19" s="1013">
        <v>1</v>
      </c>
      <c r="AQ19" s="1013"/>
      <c r="AR19" s="1014"/>
      <c r="AS19" s="1014"/>
      <c r="AT19" s="1013">
        <v>1</v>
      </c>
      <c r="AU19" s="1013"/>
      <c r="AV19" s="1014"/>
      <c r="AW19" s="1014"/>
      <c r="AX19" s="1015"/>
      <c r="AY19" s="1015"/>
      <c r="AZ19" s="991"/>
      <c r="BA19" s="1004"/>
      <c r="BB19" s="1015"/>
      <c r="BC19" s="1018"/>
      <c r="BD19" s="19">
        <f t="shared" si="0"/>
        <v>1</v>
      </c>
      <c r="BE19" s="21">
        <f t="shared" si="1"/>
        <v>8</v>
      </c>
      <c r="BF19" s="22">
        <f t="shared" si="2"/>
        <v>0.125</v>
      </c>
      <c r="BG19" s="23">
        <f t="shared" si="3"/>
        <v>3.7499999999999999E-3</v>
      </c>
      <c r="BH19" s="23">
        <f t="shared" si="4"/>
        <v>0.03</v>
      </c>
      <c r="BI19" s="257">
        <f t="shared" si="5"/>
        <v>3.7499999999999999E-3</v>
      </c>
    </row>
    <row r="20" spans="1:61" ht="33" customHeight="1" x14ac:dyDescent="0.2">
      <c r="BG20" s="247">
        <f>SUM(BG5:BG19)</f>
        <v>0.45748809523809525</v>
      </c>
      <c r="BI20" s="259">
        <f>SUM(BI5:BI19)</f>
        <v>0.19715476190476192</v>
      </c>
    </row>
    <row r="24" spans="1:61" x14ac:dyDescent="0.2">
      <c r="BF24" s="72" t="s">
        <v>1191</v>
      </c>
      <c r="BG24" s="1"/>
    </row>
    <row r="25" spans="1:61" ht="27" customHeight="1" x14ac:dyDescent="0.2">
      <c r="BF25" s="336" t="s">
        <v>830</v>
      </c>
      <c r="BG25" s="337">
        <v>0</v>
      </c>
    </row>
    <row r="26" spans="1:61" ht="22.5" customHeight="1" x14ac:dyDescent="0.2">
      <c r="BF26" s="336" t="s">
        <v>831</v>
      </c>
      <c r="BG26" s="337"/>
    </row>
    <row r="27" spans="1:61" ht="25.5" x14ac:dyDescent="0.2">
      <c r="C27" s="866" t="s">
        <v>71</v>
      </c>
      <c r="D27" s="867" t="s">
        <v>73</v>
      </c>
      <c r="E27" s="867" t="s">
        <v>72</v>
      </c>
      <c r="BF27" s="336" t="s">
        <v>832</v>
      </c>
      <c r="BG27" s="337"/>
    </row>
    <row r="28" spans="1:61" ht="25.5" x14ac:dyDescent="0.2">
      <c r="C28" s="25" t="str">
        <f>A5</f>
        <v>1. Promover la asociatividad y la solidaridad  mediante jornadas en las que se exponga el tema solidario y empresarial</v>
      </c>
      <c r="D28" s="26">
        <f>BH5+BH6</f>
        <v>0.2</v>
      </c>
      <c r="E28" s="26">
        <f>BG5+BG6</f>
        <v>7.3666666666666672E-2</v>
      </c>
      <c r="BF28" s="336" t="s">
        <v>833</v>
      </c>
      <c r="BG28" s="337"/>
    </row>
    <row r="29" spans="1:61" ht="38.25" x14ac:dyDescent="0.2">
      <c r="C29" s="25" t="s">
        <v>74</v>
      </c>
      <c r="D29" s="26">
        <f>BH8+BH9+BH10+BH12</f>
        <v>0.4</v>
      </c>
      <c r="E29" s="26">
        <f>BG8+BG9+BG10+BG12</f>
        <v>0.35357142857142859</v>
      </c>
    </row>
    <row r="30" spans="1:61" ht="37.5" customHeight="1" x14ac:dyDescent="0.2">
      <c r="C30" s="25" t="str">
        <f t="shared" ref="C30:C35" si="6">A13</f>
        <v>3, Implementar modelo integral a la medida  promoviendo el modelo asociativo solidario, como herramienta para la generacion de ingresos</v>
      </c>
      <c r="D30" s="26">
        <f>BH13</f>
        <v>0.1</v>
      </c>
      <c r="E30" s="26">
        <f>BG13</f>
        <v>0</v>
      </c>
    </row>
    <row r="31" spans="1:61" ht="35.25" customHeight="1" x14ac:dyDescent="0.2">
      <c r="C31" s="25" t="str">
        <f t="shared" si="6"/>
        <v>4. Promover y dinamizar redes y cadenas productivas, como vehiculos para el desarrollo de las organizaciones solidarias</v>
      </c>
      <c r="D31" s="26">
        <f>BH14</f>
        <v>0.05</v>
      </c>
      <c r="E31" s="26">
        <f>BG14</f>
        <v>0</v>
      </c>
    </row>
    <row r="32" spans="1:61" ht="42.75" customHeight="1" x14ac:dyDescent="0.2">
      <c r="C32" s="25" t="str">
        <f t="shared" si="6"/>
        <v>5, Articular esfuerzos con entes y actores nacionales o territoriales publicos o privados para la promocion de la asociatividad solidaria aprovechando la vocacion productiva de las regiones</v>
      </c>
      <c r="D32" s="26">
        <f>BH15</f>
        <v>0.05</v>
      </c>
      <c r="E32" s="26">
        <f>BG15</f>
        <v>0</v>
      </c>
    </row>
    <row r="33" spans="3:5" ht="40.5" customHeight="1" x14ac:dyDescent="0.2">
      <c r="C33" s="25" t="str">
        <f t="shared" si="6"/>
        <v>6, Actualizar y reportar la información de los procesos productivos  que desarrollen Emprendimiento o mejoren Productividad en las regiones de ejecución de convenios o contratos a cargo del grupo.</v>
      </c>
      <c r="D33" s="26">
        <f>BH16</f>
        <v>0.05</v>
      </c>
      <c r="E33" s="26">
        <f>BG16</f>
        <v>0</v>
      </c>
    </row>
    <row r="34" spans="3:5" ht="35.25" customHeight="1" x14ac:dyDescent="0.2">
      <c r="C34" s="25" t="str">
        <f t="shared" si="6"/>
        <v>7, Desarrollar actividades  por gestion como promoción, sensibilización, creación y fortalecimiento que adelante el grupo.</v>
      </c>
      <c r="D34" s="26">
        <f>BH17</f>
        <v>7.0000000000000007E-2</v>
      </c>
      <c r="E34" s="26">
        <f>BG17</f>
        <v>1.4000000000000002E-2</v>
      </c>
    </row>
    <row r="35" spans="3:5" ht="42.75" customHeight="1" x14ac:dyDescent="0.2">
      <c r="C35" s="25" t="str">
        <f t="shared" si="6"/>
        <v>8, Apoyar el desarrollo de las actividades necesarias para la implementación de los criterios de Gobierno en Línea en la Unidad Administrativa Especial de Organizaciones Solidarias.</v>
      </c>
      <c r="D35" s="26">
        <f>BH18+BH19</f>
        <v>0.08</v>
      </c>
      <c r="E35" s="26">
        <f>BG18+BG19</f>
        <v>1.6250000000000001E-2</v>
      </c>
    </row>
    <row r="36" spans="3:5" ht="21" customHeight="1" x14ac:dyDescent="0.2">
      <c r="C36" s="868" t="s">
        <v>66</v>
      </c>
      <c r="D36" s="869">
        <f>SUM(D28:D35)</f>
        <v>1.0000000000000002</v>
      </c>
      <c r="E36" s="869">
        <f>SUM(E28:E35)</f>
        <v>0.45748809523809525</v>
      </c>
    </row>
    <row r="39" spans="3:5" ht="25.5" x14ac:dyDescent="0.2">
      <c r="C39" s="871" t="str">
        <f t="shared" ref="C39:E48" si="7">C27</f>
        <v>ACTIVIDADES GENERALES</v>
      </c>
      <c r="D39" s="871" t="str">
        <f t="shared" si="7"/>
        <v>% AVANCE ESPERADO X ACTIVIDAD</v>
      </c>
      <c r="E39" s="871" t="str">
        <f t="shared" si="7"/>
        <v>% AVANCE EJECUTADO X ACTIVIDAD</v>
      </c>
    </row>
    <row r="40" spans="3:5" ht="25.5" x14ac:dyDescent="0.2">
      <c r="C40" s="267" t="str">
        <f>C28</f>
        <v>1. Promover la asociatividad y la solidaridad  mediante jornadas en las que se exponga el tema solidario y empresarial</v>
      </c>
      <c r="D40" s="269">
        <f>BI5+BI6</f>
        <v>1.3333333333333334E-2</v>
      </c>
      <c r="E40" s="269">
        <f>E28</f>
        <v>7.3666666666666672E-2</v>
      </c>
    </row>
    <row r="41" spans="3:5" ht="38.25" x14ac:dyDescent="0.2">
      <c r="C41" s="267" t="str">
        <f t="shared" si="7"/>
        <v>2. Fomentar y fortalecer organizaciones solidarias, en los sectores: agropecuario, cultura, turismo, minero, inclusion social y otros que se prioricen de acuerdo al PND.</v>
      </c>
      <c r="D41" s="269">
        <f>BI8+BI9+BI10+BI12</f>
        <v>0.12857142857142856</v>
      </c>
      <c r="E41" s="269">
        <f t="shared" si="7"/>
        <v>0.35357142857142859</v>
      </c>
    </row>
    <row r="42" spans="3:5" ht="38.25" x14ac:dyDescent="0.2">
      <c r="C42" s="267" t="str">
        <f t="shared" si="7"/>
        <v>3, Implementar modelo integral a la medida  promoviendo el modelo asociativo solidario, como herramienta para la generacion de ingresos</v>
      </c>
      <c r="D42" s="269">
        <f>BI13</f>
        <v>0</v>
      </c>
      <c r="E42" s="269">
        <f t="shared" si="7"/>
        <v>0</v>
      </c>
    </row>
    <row r="43" spans="3:5" ht="25.5" x14ac:dyDescent="0.2">
      <c r="C43" s="267" t="str">
        <f t="shared" si="7"/>
        <v>4. Promover y dinamizar redes y cadenas productivas, como vehiculos para el desarrollo de las organizaciones solidarias</v>
      </c>
      <c r="D43" s="269">
        <f>BI14</f>
        <v>0</v>
      </c>
      <c r="E43" s="269">
        <f t="shared" si="7"/>
        <v>0</v>
      </c>
    </row>
    <row r="44" spans="3:5" ht="51" x14ac:dyDescent="0.2">
      <c r="C44" s="267" t="str">
        <f t="shared" si="7"/>
        <v>5, Articular esfuerzos con entes y actores nacionales o territoriales publicos o privados para la promocion de la asociatividad solidaria aprovechando la vocacion productiva de las regiones</v>
      </c>
      <c r="D44" s="269">
        <f>BI15</f>
        <v>2.5000000000000001E-2</v>
      </c>
      <c r="E44" s="269">
        <f t="shared" si="7"/>
        <v>0</v>
      </c>
    </row>
    <row r="45" spans="3:5" ht="38.25" x14ac:dyDescent="0.2">
      <c r="C45" s="267" t="str">
        <f t="shared" si="7"/>
        <v>6, Actualizar y reportar la información de los procesos productivos  que desarrollen Emprendimiento o mejoren Productividad en las regiones de ejecución de convenios o contratos a cargo del grupo.</v>
      </c>
      <c r="D45" s="269">
        <f>BI16</f>
        <v>0</v>
      </c>
      <c r="E45" s="269">
        <f t="shared" si="7"/>
        <v>0</v>
      </c>
    </row>
    <row r="46" spans="3:5" ht="25.5" x14ac:dyDescent="0.2">
      <c r="C46" s="267" t="str">
        <f>C34</f>
        <v>7, Desarrollar actividades  por gestion como promoción, sensibilización, creación y fortalecimiento que adelante el grupo.</v>
      </c>
      <c r="D46" s="269">
        <f>BI17</f>
        <v>1.4000000000000002E-2</v>
      </c>
      <c r="E46" s="269">
        <f t="shared" si="7"/>
        <v>1.4000000000000002E-2</v>
      </c>
    </row>
    <row r="47" spans="3:5" ht="38.25" x14ac:dyDescent="0.2">
      <c r="C47" s="267" t="str">
        <f t="shared" si="7"/>
        <v>8, Apoyar el desarrollo de las actividades necesarias para la implementación de los criterios de Gobierno en Línea en la Unidad Administrativa Especial de Organizaciones Solidarias.</v>
      </c>
      <c r="D47" s="269">
        <f>BI18+BI19</f>
        <v>1.6250000000000001E-2</v>
      </c>
      <c r="E47" s="269">
        <f t="shared" si="7"/>
        <v>1.6250000000000001E-2</v>
      </c>
    </row>
    <row r="48" spans="3:5" x14ac:dyDescent="0.2">
      <c r="C48" s="872" t="str">
        <f t="shared" si="7"/>
        <v>TOTAL</v>
      </c>
      <c r="D48" s="873">
        <f>SUM(D40:D47)</f>
        <v>0.19715476190476189</v>
      </c>
      <c r="E48" s="873">
        <f>SUM(E40:E47)</f>
        <v>0.45748809523809525</v>
      </c>
    </row>
  </sheetData>
  <mergeCells count="387">
    <mergeCell ref="BD10:BD11"/>
    <mergeCell ref="BE10:BE11"/>
    <mergeCell ref="BG10:BG11"/>
    <mergeCell ref="BH10:BH11"/>
    <mergeCell ref="BD3:BD4"/>
    <mergeCell ref="BE3:BE4"/>
    <mergeCell ref="BF3:BF4"/>
    <mergeCell ref="BG3:BG4"/>
    <mergeCell ref="BH3:BH4"/>
    <mergeCell ref="BD6:BD7"/>
    <mergeCell ref="BG6:BG7"/>
    <mergeCell ref="BH6:BH7"/>
    <mergeCell ref="BE6:BE7"/>
    <mergeCell ref="AX19:AY19"/>
    <mergeCell ref="AZ19:BA19"/>
    <mergeCell ref="BB19:BC19"/>
    <mergeCell ref="AL19:AM19"/>
    <mergeCell ref="AN19:AO19"/>
    <mergeCell ref="AP19:AQ19"/>
    <mergeCell ref="AR19:AS19"/>
    <mergeCell ref="AT19:AU19"/>
    <mergeCell ref="AV19:AW19"/>
    <mergeCell ref="Z19:AA19"/>
    <mergeCell ref="AB19:AC19"/>
    <mergeCell ref="AD19:AE19"/>
    <mergeCell ref="AF19:AG19"/>
    <mergeCell ref="AH19:AI19"/>
    <mergeCell ref="AJ19:AK19"/>
    <mergeCell ref="BB18:BC18"/>
    <mergeCell ref="H19:I19"/>
    <mergeCell ref="J19:K19"/>
    <mergeCell ref="L19:M19"/>
    <mergeCell ref="N19:O19"/>
    <mergeCell ref="P19:Q19"/>
    <mergeCell ref="R19:S19"/>
    <mergeCell ref="T19:U19"/>
    <mergeCell ref="V19:W19"/>
    <mergeCell ref="X19:Y19"/>
    <mergeCell ref="AP18:AQ18"/>
    <mergeCell ref="AR18:AS18"/>
    <mergeCell ref="AT18:AU18"/>
    <mergeCell ref="AV18:AW18"/>
    <mergeCell ref="AX18:AY18"/>
    <mergeCell ref="AZ18:BA18"/>
    <mergeCell ref="AD18:AE18"/>
    <mergeCell ref="AF18:AG18"/>
    <mergeCell ref="AH18:AI18"/>
    <mergeCell ref="AJ18:AK18"/>
    <mergeCell ref="AL18:AM18"/>
    <mergeCell ref="AN18:AO18"/>
    <mergeCell ref="R18:S18"/>
    <mergeCell ref="T18:U18"/>
    <mergeCell ref="V18:W18"/>
    <mergeCell ref="X18:Y18"/>
    <mergeCell ref="Z18:AA18"/>
    <mergeCell ref="AB18:AC18"/>
    <mergeCell ref="AZ17:BA17"/>
    <mergeCell ref="BB17:BC17"/>
    <mergeCell ref="A18:A19"/>
    <mergeCell ref="H18:I18"/>
    <mergeCell ref="J18:K18"/>
    <mergeCell ref="L18:M18"/>
    <mergeCell ref="N18:O18"/>
    <mergeCell ref="P18:Q18"/>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AJ15:AK15"/>
    <mergeCell ref="X17:Y17"/>
    <mergeCell ref="Z17:AA17"/>
    <mergeCell ref="AT16:AU16"/>
    <mergeCell ref="AV16:AW16"/>
    <mergeCell ref="AX16:AY16"/>
    <mergeCell ref="AZ16:BA16"/>
    <mergeCell ref="BB16:BC16"/>
    <mergeCell ref="H17:I17"/>
    <mergeCell ref="J17:K17"/>
    <mergeCell ref="L17:M17"/>
    <mergeCell ref="N17:O17"/>
    <mergeCell ref="AH16:AI16"/>
    <mergeCell ref="AJ16:AK16"/>
    <mergeCell ref="AL16:AM16"/>
    <mergeCell ref="AN16:AO16"/>
    <mergeCell ref="AP16:AQ16"/>
    <mergeCell ref="AR16:AS16"/>
    <mergeCell ref="V16:W16"/>
    <mergeCell ref="X16:Y16"/>
    <mergeCell ref="Z16:AA16"/>
    <mergeCell ref="AB16:AC16"/>
    <mergeCell ref="AD16:AE16"/>
    <mergeCell ref="AF16:AG16"/>
    <mergeCell ref="AD14:AE14"/>
    <mergeCell ref="R14:S14"/>
    <mergeCell ref="T14:U14"/>
    <mergeCell ref="AX15:AY15"/>
    <mergeCell ref="AZ15:BA15"/>
    <mergeCell ref="BB15:BC15"/>
    <mergeCell ref="H16:I16"/>
    <mergeCell ref="J16:K16"/>
    <mergeCell ref="L16:M16"/>
    <mergeCell ref="N16:O16"/>
    <mergeCell ref="P16:Q16"/>
    <mergeCell ref="R16:S16"/>
    <mergeCell ref="T16:U16"/>
    <mergeCell ref="AL15:AM15"/>
    <mergeCell ref="AN15:AO15"/>
    <mergeCell ref="AP15:AQ15"/>
    <mergeCell ref="AR15:AS15"/>
    <mergeCell ref="AT15:AU15"/>
    <mergeCell ref="AV15:AW15"/>
    <mergeCell ref="Z15:AA15"/>
    <mergeCell ref="AB15:AC15"/>
    <mergeCell ref="AD15:AE15"/>
    <mergeCell ref="AF15:AG15"/>
    <mergeCell ref="AH15:AI15"/>
    <mergeCell ref="H15:I15"/>
    <mergeCell ref="J15:K15"/>
    <mergeCell ref="L15:M15"/>
    <mergeCell ref="N15:O15"/>
    <mergeCell ref="P15:Q15"/>
    <mergeCell ref="R15:S15"/>
    <mergeCell ref="T15:U15"/>
    <mergeCell ref="V15:W15"/>
    <mergeCell ref="X15:Y15"/>
    <mergeCell ref="AN14:AO14"/>
    <mergeCell ref="AT13:AU13"/>
    <mergeCell ref="AV13:AW13"/>
    <mergeCell ref="AX13:AY13"/>
    <mergeCell ref="AZ13:BA13"/>
    <mergeCell ref="BB13:BC13"/>
    <mergeCell ref="AP13:AQ13"/>
    <mergeCell ref="AR13:AS13"/>
    <mergeCell ref="BB14:BC14"/>
    <mergeCell ref="AP14:AQ14"/>
    <mergeCell ref="AR14:AS14"/>
    <mergeCell ref="AT14:AU14"/>
    <mergeCell ref="AV14:AW14"/>
    <mergeCell ref="AX14:AY14"/>
    <mergeCell ref="AZ14:BA14"/>
    <mergeCell ref="AN12:AO12"/>
    <mergeCell ref="H14:I14"/>
    <mergeCell ref="J14:K14"/>
    <mergeCell ref="L14:M14"/>
    <mergeCell ref="N14:O14"/>
    <mergeCell ref="P14:Q14"/>
    <mergeCell ref="AH13:AI13"/>
    <mergeCell ref="AJ13:AK13"/>
    <mergeCell ref="AL13:AM13"/>
    <mergeCell ref="AN13:AO13"/>
    <mergeCell ref="V13:W13"/>
    <mergeCell ref="X13:Y13"/>
    <mergeCell ref="Z13:AA13"/>
    <mergeCell ref="AB13:AC13"/>
    <mergeCell ref="AD13:AE13"/>
    <mergeCell ref="AF13:AG13"/>
    <mergeCell ref="V14:W14"/>
    <mergeCell ref="X14:Y14"/>
    <mergeCell ref="Z14:AA14"/>
    <mergeCell ref="AB14:AC14"/>
    <mergeCell ref="AF14:AG14"/>
    <mergeCell ref="AH14:AI14"/>
    <mergeCell ref="AJ14:AK14"/>
    <mergeCell ref="AL14:AM14"/>
    <mergeCell ref="BB12:BC12"/>
    <mergeCell ref="H13:I13"/>
    <mergeCell ref="J13:K13"/>
    <mergeCell ref="L13:M13"/>
    <mergeCell ref="N13:O13"/>
    <mergeCell ref="P13:Q13"/>
    <mergeCell ref="R13:S13"/>
    <mergeCell ref="T13:U13"/>
    <mergeCell ref="AP12:AQ12"/>
    <mergeCell ref="AR12:AS12"/>
    <mergeCell ref="R12:S12"/>
    <mergeCell ref="T12:U12"/>
    <mergeCell ref="V12:W12"/>
    <mergeCell ref="X12:Y12"/>
    <mergeCell ref="AB12:AC12"/>
    <mergeCell ref="AT12:AU12"/>
    <mergeCell ref="AV12:AW12"/>
    <mergeCell ref="AX12:AY12"/>
    <mergeCell ref="AZ12:BA12"/>
    <mergeCell ref="AD12:AE12"/>
    <mergeCell ref="AF12:AG12"/>
    <mergeCell ref="AH12:AI12"/>
    <mergeCell ref="AJ12:AK12"/>
    <mergeCell ref="AL12:AM12"/>
    <mergeCell ref="AV10:AW11"/>
    <mergeCell ref="Z10:AA11"/>
    <mergeCell ref="AB10:AC11"/>
    <mergeCell ref="AD10:AE11"/>
    <mergeCell ref="AF10:AG11"/>
    <mergeCell ref="AH10:AI11"/>
    <mergeCell ref="AJ10:AK11"/>
    <mergeCell ref="N10:O11"/>
    <mergeCell ref="P10:Q11"/>
    <mergeCell ref="G10:G11"/>
    <mergeCell ref="H10:I11"/>
    <mergeCell ref="J10:K11"/>
    <mergeCell ref="L10:M11"/>
    <mergeCell ref="C10:C11"/>
    <mergeCell ref="D10:D11"/>
    <mergeCell ref="E10:E11"/>
    <mergeCell ref="F10:F11"/>
    <mergeCell ref="Z12:AA12"/>
    <mergeCell ref="H12:I12"/>
    <mergeCell ref="J12:K12"/>
    <mergeCell ref="L12:M12"/>
    <mergeCell ref="N12:O12"/>
    <mergeCell ref="P12:Q12"/>
    <mergeCell ref="BB9:BC9"/>
    <mergeCell ref="AF9:AG9"/>
    <mergeCell ref="AH9:AI9"/>
    <mergeCell ref="AJ9:AK9"/>
    <mergeCell ref="AL9:AM9"/>
    <mergeCell ref="AN9:AO9"/>
    <mergeCell ref="AP9:AQ9"/>
    <mergeCell ref="R10:S11"/>
    <mergeCell ref="T10:U11"/>
    <mergeCell ref="V10:W11"/>
    <mergeCell ref="X10:Y11"/>
    <mergeCell ref="V9:W9"/>
    <mergeCell ref="X9:Y9"/>
    <mergeCell ref="Z9:AA9"/>
    <mergeCell ref="AB9:AC9"/>
    <mergeCell ref="AD9:AE9"/>
    <mergeCell ref="AX10:AY11"/>
    <mergeCell ref="AZ10:BA11"/>
    <mergeCell ref="BB10:BC11"/>
    <mergeCell ref="AL10:AM11"/>
    <mergeCell ref="AN10:AO11"/>
    <mergeCell ref="AP10:AQ11"/>
    <mergeCell ref="AR10:AS11"/>
    <mergeCell ref="AT10:AU11"/>
    <mergeCell ref="AV8:AW8"/>
    <mergeCell ref="AX8:AY8"/>
    <mergeCell ref="AZ8:BA8"/>
    <mergeCell ref="V8:W8"/>
    <mergeCell ref="AR9:AS9"/>
    <mergeCell ref="AT9:AU9"/>
    <mergeCell ref="AV9:AW9"/>
    <mergeCell ref="AX9:AY9"/>
    <mergeCell ref="AZ9:BA9"/>
    <mergeCell ref="BB8:BC8"/>
    <mergeCell ref="H9:I9"/>
    <mergeCell ref="J9:K9"/>
    <mergeCell ref="L9:M9"/>
    <mergeCell ref="N9:O9"/>
    <mergeCell ref="P9:Q9"/>
    <mergeCell ref="R9:S9"/>
    <mergeCell ref="AJ8:AK8"/>
    <mergeCell ref="AL8:AM8"/>
    <mergeCell ref="AN8:AO8"/>
    <mergeCell ref="AP8:AQ8"/>
    <mergeCell ref="AR8:AS8"/>
    <mergeCell ref="AT8:AU8"/>
    <mergeCell ref="X8:Y8"/>
    <mergeCell ref="Z8:AA8"/>
    <mergeCell ref="AB8:AC8"/>
    <mergeCell ref="AD8:AE8"/>
    <mergeCell ref="AF8:AG8"/>
    <mergeCell ref="AH8:AI8"/>
    <mergeCell ref="L8:M8"/>
    <mergeCell ref="N8:O8"/>
    <mergeCell ref="P8:Q8"/>
    <mergeCell ref="R8:S8"/>
    <mergeCell ref="T8:U8"/>
    <mergeCell ref="A8:A12"/>
    <mergeCell ref="B8:B12"/>
    <mergeCell ref="C8:C9"/>
    <mergeCell ref="G8:G9"/>
    <mergeCell ref="H8:I8"/>
    <mergeCell ref="J8:K8"/>
    <mergeCell ref="AT6:AU7"/>
    <mergeCell ref="AV6:AW7"/>
    <mergeCell ref="AX6:AY7"/>
    <mergeCell ref="J6:K7"/>
    <mergeCell ref="L6:M7"/>
    <mergeCell ref="N6:O7"/>
    <mergeCell ref="P6:Q7"/>
    <mergeCell ref="R6:S7"/>
    <mergeCell ref="T6:U7"/>
    <mergeCell ref="F6:F7"/>
    <mergeCell ref="H6:I7"/>
    <mergeCell ref="A5:A7"/>
    <mergeCell ref="C5:C7"/>
    <mergeCell ref="G5:G7"/>
    <mergeCell ref="B6:B7"/>
    <mergeCell ref="D6:D7"/>
    <mergeCell ref="E6:E7"/>
    <mergeCell ref="T9:U9"/>
    <mergeCell ref="AZ6:BA7"/>
    <mergeCell ref="BB6:BC7"/>
    <mergeCell ref="AH6:AI7"/>
    <mergeCell ref="AJ6:AK7"/>
    <mergeCell ref="AL6:AM7"/>
    <mergeCell ref="AN6:AO7"/>
    <mergeCell ref="AP6:AQ7"/>
    <mergeCell ref="AR6:AS7"/>
    <mergeCell ref="V6:W7"/>
    <mergeCell ref="X6:Y7"/>
    <mergeCell ref="Z6:AA7"/>
    <mergeCell ref="AB6:AC7"/>
    <mergeCell ref="AD6:AE7"/>
    <mergeCell ref="AF6:AG7"/>
    <mergeCell ref="AR5:AS5"/>
    <mergeCell ref="AT5:AU5"/>
    <mergeCell ref="AV5:AW5"/>
    <mergeCell ref="AX5:AY5"/>
    <mergeCell ref="AZ5:BA5"/>
    <mergeCell ref="BB5:BC5"/>
    <mergeCell ref="AF5:AG5"/>
    <mergeCell ref="AH5:AI5"/>
    <mergeCell ref="AJ5:AK5"/>
    <mergeCell ref="AL5:AM5"/>
    <mergeCell ref="AN5:AO5"/>
    <mergeCell ref="AP5:AQ5"/>
    <mergeCell ref="T5:U5"/>
    <mergeCell ref="V5:W5"/>
    <mergeCell ref="X5:Y5"/>
    <mergeCell ref="Z5:AA5"/>
    <mergeCell ref="AB5:AC5"/>
    <mergeCell ref="AD5:AE5"/>
    <mergeCell ref="H5:I5"/>
    <mergeCell ref="J5:K5"/>
    <mergeCell ref="L5:M5"/>
    <mergeCell ref="N5:O5"/>
    <mergeCell ref="P5:Q5"/>
    <mergeCell ref="R5:S5"/>
    <mergeCell ref="AV4:AW4"/>
    <mergeCell ref="AX4:AY4"/>
    <mergeCell ref="AZ4:BA4"/>
    <mergeCell ref="BB4:BC4"/>
    <mergeCell ref="AF4:AG4"/>
    <mergeCell ref="AH4:AI4"/>
    <mergeCell ref="AJ4:AK4"/>
    <mergeCell ref="AL4:AM4"/>
    <mergeCell ref="AN4:AO4"/>
    <mergeCell ref="AP4:AQ4"/>
    <mergeCell ref="A3:A4"/>
    <mergeCell ref="B3:B4"/>
    <mergeCell ref="H4:I4"/>
    <mergeCell ref="J4:K4"/>
    <mergeCell ref="L4:M4"/>
    <mergeCell ref="N4:O4"/>
    <mergeCell ref="P4:Q4"/>
    <mergeCell ref="R4:S4"/>
    <mergeCell ref="T3:W3"/>
    <mergeCell ref="T4:U4"/>
    <mergeCell ref="V4:W4"/>
    <mergeCell ref="BI6:BI7"/>
    <mergeCell ref="BI10:BI11"/>
    <mergeCell ref="G3:G4"/>
    <mergeCell ref="H3:K3"/>
    <mergeCell ref="L3:O3"/>
    <mergeCell ref="P3:S3"/>
    <mergeCell ref="C3:C4"/>
    <mergeCell ref="D3:D4"/>
    <mergeCell ref="E3:E4"/>
    <mergeCell ref="F3:F4"/>
    <mergeCell ref="X3:AA3"/>
    <mergeCell ref="AB3:AE3"/>
    <mergeCell ref="X4:Y4"/>
    <mergeCell ref="Z4:AA4"/>
    <mergeCell ref="AB4:AC4"/>
    <mergeCell ref="AD4:AE4"/>
    <mergeCell ref="AR3:AU3"/>
    <mergeCell ref="AV3:AY3"/>
    <mergeCell ref="AZ3:BC3"/>
    <mergeCell ref="AF3:AI3"/>
    <mergeCell ref="AJ3:AM3"/>
    <mergeCell ref="AN3:AQ3"/>
    <mergeCell ref="AR4:AS4"/>
    <mergeCell ref="AT4:AU4"/>
  </mergeCells>
  <conditionalFormatting sqref="BF5:BF6 BF8:BF10 BF12:BF19">
    <cfRule type="cellIs" dxfId="155"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53"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BJ43"/>
  <sheetViews>
    <sheetView topLeftCell="B10" zoomScale="60" zoomScaleNormal="60" zoomScaleSheetLayoutView="69" workbookViewId="0">
      <selection activeCell="BD24" sqref="BD24"/>
    </sheetView>
  </sheetViews>
  <sheetFormatPr baseColWidth="10" defaultRowHeight="12.75" x14ac:dyDescent="0.2"/>
  <cols>
    <col min="1" max="1" width="39.5703125" style="27" customWidth="1"/>
    <col min="2" max="2" width="21.28515625" style="2" customWidth="1"/>
    <col min="3" max="3" width="61.85546875" style="27" customWidth="1"/>
    <col min="4" max="4" width="27.7109375" style="27" customWidth="1"/>
    <col min="5" max="5" width="30.7109375" style="27" customWidth="1"/>
    <col min="6" max="6" width="23.42578125" style="27" customWidth="1"/>
    <col min="7" max="7" width="13.85546875" style="27" customWidth="1"/>
    <col min="8" max="14" width="3.5703125" style="27" customWidth="1"/>
    <col min="15" max="15" width="3.7109375" style="27" customWidth="1"/>
    <col min="16" max="18" width="3.5703125" style="27" customWidth="1"/>
    <col min="19" max="19" width="4.140625" style="27" customWidth="1"/>
    <col min="20" max="22" width="3.5703125" style="27" customWidth="1"/>
    <col min="23" max="23" width="4.42578125" style="27" customWidth="1"/>
    <col min="24" max="26" width="3.5703125" style="27" customWidth="1"/>
    <col min="27" max="27" width="4.5703125" style="27" customWidth="1"/>
    <col min="28" max="30" width="3.5703125" style="27" customWidth="1"/>
    <col min="31" max="31" width="4.140625" style="27" customWidth="1"/>
    <col min="32" max="34" width="3.5703125" style="27" customWidth="1"/>
    <col min="35" max="35" width="4.5703125" style="27" customWidth="1"/>
    <col min="36" max="38" width="3.5703125" style="27" customWidth="1"/>
    <col min="39" max="39" width="5" style="27" customWidth="1"/>
    <col min="40" max="42" width="3.5703125" style="27" customWidth="1"/>
    <col min="43" max="43" width="5" style="27" customWidth="1"/>
    <col min="44" max="46" width="3.5703125" style="27" customWidth="1"/>
    <col min="47" max="47" width="4.42578125" style="27" customWidth="1"/>
    <col min="48" max="50" width="3.5703125" style="27" customWidth="1"/>
    <col min="51" max="51" width="4" style="27" customWidth="1"/>
    <col min="52" max="55" width="3.5703125" style="27" customWidth="1"/>
    <col min="56" max="56" width="10.85546875" style="27" customWidth="1"/>
    <col min="57" max="57" width="12.5703125" style="27" customWidth="1"/>
    <col min="58" max="59" width="11.42578125" style="27" customWidth="1"/>
    <col min="60" max="60" width="13.85546875" style="27" customWidth="1"/>
    <col min="61" max="16384" width="11.42578125" style="27"/>
  </cols>
  <sheetData>
    <row r="1" spans="1:61" ht="15" x14ac:dyDescent="0.2">
      <c r="H1" s="28"/>
    </row>
    <row r="2" spans="1:61" ht="15.75" thickBot="1" x14ac:dyDescent="0.25">
      <c r="H2" s="28"/>
    </row>
    <row r="3" spans="1:61" ht="17.25" customHeight="1" x14ac:dyDescent="0.2">
      <c r="A3" s="1021" t="s">
        <v>99</v>
      </c>
      <c r="B3" s="1023" t="s">
        <v>100</v>
      </c>
      <c r="C3" s="1037" t="s">
        <v>101</v>
      </c>
      <c r="D3" s="1037" t="s">
        <v>102</v>
      </c>
      <c r="E3" s="1039" t="s">
        <v>103</v>
      </c>
      <c r="F3" s="1019" t="s">
        <v>104</v>
      </c>
      <c r="G3" s="1035" t="s">
        <v>6</v>
      </c>
      <c r="H3" s="1028" t="s">
        <v>7</v>
      </c>
      <c r="I3" s="1025"/>
      <c r="J3" s="1025"/>
      <c r="K3" s="1025"/>
      <c r="L3" s="1025" t="s">
        <v>8</v>
      </c>
      <c r="M3" s="1025"/>
      <c r="N3" s="1025"/>
      <c r="O3" s="1025"/>
      <c r="P3" s="1025" t="s">
        <v>9</v>
      </c>
      <c r="Q3" s="1025"/>
      <c r="R3" s="1025"/>
      <c r="S3" s="1025"/>
      <c r="T3" s="1025" t="s">
        <v>10</v>
      </c>
      <c r="U3" s="1025"/>
      <c r="V3" s="1025"/>
      <c r="W3" s="1025"/>
      <c r="X3" s="1025" t="s">
        <v>11</v>
      </c>
      <c r="Y3" s="1025"/>
      <c r="Z3" s="1025"/>
      <c r="AA3" s="1025"/>
      <c r="AB3" s="1025" t="s">
        <v>12</v>
      </c>
      <c r="AC3" s="1025"/>
      <c r="AD3" s="1025"/>
      <c r="AE3" s="1025"/>
      <c r="AF3" s="1025" t="s">
        <v>13</v>
      </c>
      <c r="AG3" s="1025"/>
      <c r="AH3" s="1025"/>
      <c r="AI3" s="1025"/>
      <c r="AJ3" s="1025" t="s">
        <v>14</v>
      </c>
      <c r="AK3" s="1025"/>
      <c r="AL3" s="1025"/>
      <c r="AM3" s="1025"/>
      <c r="AN3" s="1025" t="s">
        <v>15</v>
      </c>
      <c r="AO3" s="1025"/>
      <c r="AP3" s="1025"/>
      <c r="AQ3" s="1025"/>
      <c r="AR3" s="1025" t="s">
        <v>16</v>
      </c>
      <c r="AS3" s="1025"/>
      <c r="AT3" s="1025"/>
      <c r="AU3" s="1025"/>
      <c r="AV3" s="1025" t="s">
        <v>17</v>
      </c>
      <c r="AW3" s="1025"/>
      <c r="AX3" s="1025"/>
      <c r="AY3" s="1025"/>
      <c r="AZ3" s="1025" t="s">
        <v>18</v>
      </c>
      <c r="BA3" s="1025"/>
      <c r="BB3" s="1025"/>
      <c r="BC3" s="1026"/>
      <c r="BD3" s="1071" t="s">
        <v>66</v>
      </c>
      <c r="BE3" s="1073" t="s">
        <v>67</v>
      </c>
      <c r="BF3" s="1075" t="s">
        <v>68</v>
      </c>
      <c r="BG3" s="1077" t="s">
        <v>69</v>
      </c>
      <c r="BH3" s="1079" t="s">
        <v>70</v>
      </c>
    </row>
    <row r="4" spans="1:61" ht="81" customHeight="1" thickBot="1" x14ac:dyDescent="0.25">
      <c r="A4" s="1022"/>
      <c r="B4" s="1024"/>
      <c r="C4" s="1038"/>
      <c r="D4" s="1038"/>
      <c r="E4" s="1040"/>
      <c r="F4" s="1020"/>
      <c r="G4" s="1036"/>
      <c r="H4" s="1027" t="s">
        <v>19</v>
      </c>
      <c r="I4" s="1027"/>
      <c r="J4" s="1027" t="s">
        <v>20</v>
      </c>
      <c r="K4" s="1027"/>
      <c r="L4" s="1027" t="s">
        <v>19</v>
      </c>
      <c r="M4" s="1027"/>
      <c r="N4" s="1027" t="s">
        <v>20</v>
      </c>
      <c r="O4" s="1027"/>
      <c r="P4" s="1027" t="s">
        <v>19</v>
      </c>
      <c r="Q4" s="1027"/>
      <c r="R4" s="1027" t="s">
        <v>20</v>
      </c>
      <c r="S4" s="1027"/>
      <c r="T4" s="1027" t="s">
        <v>19</v>
      </c>
      <c r="U4" s="1027"/>
      <c r="V4" s="1027" t="s">
        <v>20</v>
      </c>
      <c r="W4" s="1027"/>
      <c r="X4" s="1027" t="s">
        <v>19</v>
      </c>
      <c r="Y4" s="1027"/>
      <c r="Z4" s="1027" t="s">
        <v>20</v>
      </c>
      <c r="AA4" s="1027"/>
      <c r="AB4" s="1027" t="s">
        <v>19</v>
      </c>
      <c r="AC4" s="1027"/>
      <c r="AD4" s="1027" t="s">
        <v>20</v>
      </c>
      <c r="AE4" s="1027"/>
      <c r="AF4" s="1027" t="s">
        <v>19</v>
      </c>
      <c r="AG4" s="1027"/>
      <c r="AH4" s="1027" t="s">
        <v>20</v>
      </c>
      <c r="AI4" s="1027"/>
      <c r="AJ4" s="1027" t="s">
        <v>19</v>
      </c>
      <c r="AK4" s="1027"/>
      <c r="AL4" s="1027" t="s">
        <v>20</v>
      </c>
      <c r="AM4" s="1027"/>
      <c r="AN4" s="1027" t="s">
        <v>19</v>
      </c>
      <c r="AO4" s="1027"/>
      <c r="AP4" s="1027" t="s">
        <v>20</v>
      </c>
      <c r="AQ4" s="1027"/>
      <c r="AR4" s="1027" t="s">
        <v>19</v>
      </c>
      <c r="AS4" s="1027"/>
      <c r="AT4" s="1027" t="s">
        <v>20</v>
      </c>
      <c r="AU4" s="1027"/>
      <c r="AV4" s="1027" t="s">
        <v>19</v>
      </c>
      <c r="AW4" s="1027"/>
      <c r="AX4" s="1027" t="s">
        <v>20</v>
      </c>
      <c r="AY4" s="1027"/>
      <c r="AZ4" s="1027" t="s">
        <v>19</v>
      </c>
      <c r="BA4" s="1027"/>
      <c r="BB4" s="1027" t="s">
        <v>20</v>
      </c>
      <c r="BC4" s="1034"/>
      <c r="BD4" s="1072"/>
      <c r="BE4" s="1074"/>
      <c r="BF4" s="1076"/>
      <c r="BG4" s="1078"/>
      <c r="BH4" s="1080"/>
    </row>
    <row r="5" spans="1:61" ht="54.75" customHeight="1" x14ac:dyDescent="0.2">
      <c r="A5" s="1029" t="s">
        <v>105</v>
      </c>
      <c r="B5" s="1032">
        <v>0.35</v>
      </c>
      <c r="C5" s="1044" t="s">
        <v>106</v>
      </c>
      <c r="D5" s="49" t="s">
        <v>107</v>
      </c>
      <c r="E5" s="49" t="s">
        <v>108</v>
      </c>
      <c r="F5" s="50">
        <v>0.1</v>
      </c>
      <c r="G5" s="1046" t="s">
        <v>109</v>
      </c>
      <c r="H5" s="1043"/>
      <c r="I5" s="1043"/>
      <c r="J5" s="1041"/>
      <c r="K5" s="1041"/>
      <c r="L5" s="1041"/>
      <c r="M5" s="1041"/>
      <c r="N5" s="1043"/>
      <c r="O5" s="1043"/>
      <c r="P5" s="1052">
        <v>3</v>
      </c>
      <c r="Q5" s="1052"/>
      <c r="R5" s="1042">
        <v>1</v>
      </c>
      <c r="S5" s="1042"/>
      <c r="T5" s="1041"/>
      <c r="U5" s="1041"/>
      <c r="V5" s="1042">
        <v>1</v>
      </c>
      <c r="W5" s="1042"/>
      <c r="X5" s="1043"/>
      <c r="Y5" s="1043"/>
      <c r="Z5" s="1042">
        <v>1</v>
      </c>
      <c r="AA5" s="1042"/>
      <c r="AB5" s="1043"/>
      <c r="AC5" s="1043"/>
      <c r="AD5" s="1042">
        <v>1</v>
      </c>
      <c r="AE5" s="1042"/>
      <c r="AF5" s="1043"/>
      <c r="AG5" s="1043"/>
      <c r="AH5" s="1042">
        <v>2</v>
      </c>
      <c r="AI5" s="1042"/>
      <c r="AJ5" s="1043"/>
      <c r="AK5" s="1043"/>
      <c r="AL5" s="1042">
        <v>1</v>
      </c>
      <c r="AM5" s="1042"/>
      <c r="AN5" s="1043"/>
      <c r="AO5" s="1043"/>
      <c r="AP5" s="1042">
        <v>2</v>
      </c>
      <c r="AQ5" s="1042"/>
      <c r="AR5" s="1043"/>
      <c r="AS5" s="1043"/>
      <c r="AT5" s="1042">
        <v>1</v>
      </c>
      <c r="AU5" s="1042"/>
      <c r="AV5" s="1043"/>
      <c r="AW5" s="1043"/>
      <c r="AX5" s="1041"/>
      <c r="AY5" s="1041"/>
      <c r="AZ5" s="1043"/>
      <c r="BA5" s="1043"/>
      <c r="BB5" s="1041"/>
      <c r="BC5" s="1048"/>
      <c r="BD5" s="20">
        <f>H5+L5+P5+T5+X5+AB5+AF5+AJ5+AN5+AR5+AV5+AZ5</f>
        <v>3</v>
      </c>
      <c r="BE5" s="70">
        <f>J5+N5+R5+V5+Z5+AD5+AH5+AL5+AP5+AT5+AX5+BB5</f>
        <v>10</v>
      </c>
      <c r="BF5" s="47">
        <f>BD5/BE5</f>
        <v>0.3</v>
      </c>
      <c r="BG5" s="24">
        <f>F5*BF5</f>
        <v>0.03</v>
      </c>
      <c r="BH5" s="24">
        <f>F5</f>
        <v>0.1</v>
      </c>
      <c r="BI5" s="257">
        <f>((J5+N5+R5)/BE5)*BH5</f>
        <v>1.0000000000000002E-2</v>
      </c>
    </row>
    <row r="6" spans="1:61" ht="44.25" customHeight="1" x14ac:dyDescent="0.2">
      <c r="A6" s="1030"/>
      <c r="B6" s="1033"/>
      <c r="C6" s="1045"/>
      <c r="D6" s="53" t="s">
        <v>110</v>
      </c>
      <c r="E6" s="54" t="s">
        <v>111</v>
      </c>
      <c r="F6" s="55">
        <v>0.05</v>
      </c>
      <c r="G6" s="1047"/>
      <c r="H6" s="1049">
        <v>10</v>
      </c>
      <c r="I6" s="1049"/>
      <c r="J6" s="1050">
        <v>10</v>
      </c>
      <c r="K6" s="1050"/>
      <c r="L6" s="1049">
        <v>282</v>
      </c>
      <c r="M6" s="1049"/>
      <c r="N6" s="1050">
        <v>140</v>
      </c>
      <c r="O6" s="1050"/>
      <c r="P6" s="1049">
        <v>167</v>
      </c>
      <c r="Q6" s="1049"/>
      <c r="R6" s="1050">
        <v>140</v>
      </c>
      <c r="S6" s="1050"/>
      <c r="T6" s="1051"/>
      <c r="U6" s="1051"/>
      <c r="V6" s="1050">
        <v>140</v>
      </c>
      <c r="W6" s="1050"/>
      <c r="X6" s="1051"/>
      <c r="Y6" s="1051"/>
      <c r="Z6" s="1050">
        <v>140</v>
      </c>
      <c r="AA6" s="1050"/>
      <c r="AB6" s="1051"/>
      <c r="AC6" s="1051"/>
      <c r="AD6" s="1050">
        <v>140</v>
      </c>
      <c r="AE6" s="1050"/>
      <c r="AF6" s="1051"/>
      <c r="AG6" s="1051"/>
      <c r="AH6" s="1050">
        <v>140</v>
      </c>
      <c r="AI6" s="1050"/>
      <c r="AJ6" s="1051"/>
      <c r="AK6" s="1051"/>
      <c r="AL6" s="1050">
        <v>140</v>
      </c>
      <c r="AM6" s="1050"/>
      <c r="AN6" s="1051"/>
      <c r="AO6" s="1051"/>
      <c r="AP6" s="1050">
        <v>10</v>
      </c>
      <c r="AQ6" s="1050"/>
      <c r="AR6" s="1051"/>
      <c r="AS6" s="1051"/>
      <c r="AT6" s="1051"/>
      <c r="AU6" s="1051"/>
      <c r="AV6" s="1051"/>
      <c r="AW6" s="1051"/>
      <c r="AX6" s="1053"/>
      <c r="AY6" s="1053"/>
      <c r="AZ6" s="1051"/>
      <c r="BA6" s="1051"/>
      <c r="BB6" s="1053"/>
      <c r="BC6" s="1054"/>
      <c r="BD6" s="20">
        <f t="shared" ref="BD6:BD17" si="0">H6+L6+P6+T6+X6+AB6+AF6+AJ6+AN6+AR6+AV6+AZ6</f>
        <v>459</v>
      </c>
      <c r="BE6" s="70">
        <f t="shared" ref="BE6:BE17" si="1">J6+N6+R6+V6+Z6+AD6+AH6+AL6+AP6+AT6+AX6+BB6</f>
        <v>1000</v>
      </c>
      <c r="BF6" s="47">
        <f t="shared" ref="BF6:BF17" si="2">BD6/BE6</f>
        <v>0.45900000000000002</v>
      </c>
      <c r="BG6" s="24">
        <f t="shared" ref="BG6:BG17" si="3">F6*BF6</f>
        <v>2.2950000000000002E-2</v>
      </c>
      <c r="BH6" s="24">
        <f t="shared" ref="BH6:BH17" si="4">F6</f>
        <v>0.05</v>
      </c>
      <c r="BI6" s="257">
        <f t="shared" ref="BI6:BI16" si="5">((J6+N6+R6)/BE6)*BH6</f>
        <v>1.4499999999999999E-2</v>
      </c>
    </row>
    <row r="7" spans="1:61" ht="45" customHeight="1" x14ac:dyDescent="0.2">
      <c r="A7" s="1030"/>
      <c r="B7" s="1033"/>
      <c r="C7" s="56" t="s">
        <v>112</v>
      </c>
      <c r="D7" s="53" t="s">
        <v>113</v>
      </c>
      <c r="E7" s="54" t="s">
        <v>114</v>
      </c>
      <c r="F7" s="55">
        <v>0.1</v>
      </c>
      <c r="G7" s="57" t="s">
        <v>115</v>
      </c>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0">
        <v>1</v>
      </c>
      <c r="AI7" s="1050"/>
      <c r="AJ7" s="1051"/>
      <c r="AK7" s="1051"/>
      <c r="AL7" s="1051"/>
      <c r="AM7" s="1051"/>
      <c r="AN7" s="1051"/>
      <c r="AO7" s="1051"/>
      <c r="AP7" s="1051"/>
      <c r="AQ7" s="1051"/>
      <c r="AR7" s="1051"/>
      <c r="AS7" s="1051"/>
      <c r="AT7" s="1053"/>
      <c r="AU7" s="1053"/>
      <c r="AV7" s="1051"/>
      <c r="AW7" s="1051"/>
      <c r="AX7" s="1053"/>
      <c r="AY7" s="1053"/>
      <c r="AZ7" s="1051"/>
      <c r="BA7" s="1051"/>
      <c r="BB7" s="1053"/>
      <c r="BC7" s="1054"/>
      <c r="BD7" s="20">
        <f t="shared" si="0"/>
        <v>0</v>
      </c>
      <c r="BE7" s="70">
        <f t="shared" si="1"/>
        <v>1</v>
      </c>
      <c r="BF7" s="47">
        <f t="shared" si="2"/>
        <v>0</v>
      </c>
      <c r="BG7" s="24">
        <f t="shared" si="3"/>
        <v>0</v>
      </c>
      <c r="BH7" s="24">
        <f t="shared" si="4"/>
        <v>0.1</v>
      </c>
      <c r="BI7" s="257">
        <f t="shared" si="5"/>
        <v>0</v>
      </c>
    </row>
    <row r="8" spans="1:61" ht="45" customHeight="1" x14ac:dyDescent="0.2">
      <c r="A8" s="1031"/>
      <c r="B8" s="1033"/>
      <c r="C8" s="46" t="s">
        <v>116</v>
      </c>
      <c r="D8" s="53" t="s">
        <v>117</v>
      </c>
      <c r="E8" s="54" t="s">
        <v>111</v>
      </c>
      <c r="F8" s="55">
        <v>0.1</v>
      </c>
      <c r="G8" s="57" t="s">
        <v>118</v>
      </c>
      <c r="H8" s="1051"/>
      <c r="I8" s="1051"/>
      <c r="J8" s="1051"/>
      <c r="K8" s="1051"/>
      <c r="L8" s="1051"/>
      <c r="M8" s="1051"/>
      <c r="N8" s="1051"/>
      <c r="O8" s="1051"/>
      <c r="P8" s="1049">
        <v>175</v>
      </c>
      <c r="Q8" s="1049"/>
      <c r="R8" s="1050">
        <v>140</v>
      </c>
      <c r="S8" s="1050"/>
      <c r="T8" s="1051"/>
      <c r="U8" s="1051"/>
      <c r="V8" s="1050">
        <v>140</v>
      </c>
      <c r="W8" s="1050"/>
      <c r="X8" s="1051"/>
      <c r="Y8" s="1051"/>
      <c r="Z8" s="1050">
        <v>140</v>
      </c>
      <c r="AA8" s="1050"/>
      <c r="AB8" s="1051"/>
      <c r="AC8" s="1051"/>
      <c r="AD8" s="1050">
        <v>140</v>
      </c>
      <c r="AE8" s="1050"/>
      <c r="AF8" s="1051"/>
      <c r="AG8" s="1051"/>
      <c r="AH8" s="1050">
        <v>140</v>
      </c>
      <c r="AI8" s="1050"/>
      <c r="AJ8" s="1051"/>
      <c r="AK8" s="1051"/>
      <c r="AL8" s="1050">
        <v>140</v>
      </c>
      <c r="AM8" s="1050"/>
      <c r="AN8" s="1051"/>
      <c r="AO8" s="1051"/>
      <c r="AP8" s="1050">
        <v>160</v>
      </c>
      <c r="AQ8" s="1050"/>
      <c r="AR8" s="1051"/>
      <c r="AS8" s="1051"/>
      <c r="AT8" s="1051"/>
      <c r="AU8" s="1051"/>
      <c r="AV8" s="1051"/>
      <c r="AW8" s="1051"/>
      <c r="AX8" s="1053"/>
      <c r="AY8" s="1053"/>
      <c r="AZ8" s="1051"/>
      <c r="BA8" s="1051"/>
      <c r="BB8" s="1053"/>
      <c r="BC8" s="1054"/>
      <c r="BD8" s="20">
        <f t="shared" si="0"/>
        <v>175</v>
      </c>
      <c r="BE8" s="70">
        <f t="shared" si="1"/>
        <v>1000</v>
      </c>
      <c r="BF8" s="47">
        <f t="shared" si="2"/>
        <v>0.17499999999999999</v>
      </c>
      <c r="BG8" s="24">
        <f t="shared" si="3"/>
        <v>1.7499999999999998E-2</v>
      </c>
      <c r="BH8" s="24">
        <f t="shared" si="4"/>
        <v>0.1</v>
      </c>
      <c r="BI8" s="257">
        <f t="shared" si="5"/>
        <v>1.4000000000000002E-2</v>
      </c>
    </row>
    <row r="9" spans="1:61" ht="45.75" customHeight="1" x14ac:dyDescent="0.2">
      <c r="A9" s="1055" t="s">
        <v>119</v>
      </c>
      <c r="B9" s="1033">
        <v>0.3</v>
      </c>
      <c r="C9" s="1056" t="s">
        <v>120</v>
      </c>
      <c r="D9" s="58" t="s">
        <v>121</v>
      </c>
      <c r="E9" s="58" t="s">
        <v>122</v>
      </c>
      <c r="F9" s="55">
        <v>0.06</v>
      </c>
      <c r="G9" s="57" t="s">
        <v>123</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0">
        <v>29</v>
      </c>
      <c r="AI9" s="1050"/>
      <c r="AJ9" s="1051"/>
      <c r="AK9" s="1051"/>
      <c r="AL9" s="1050">
        <v>29</v>
      </c>
      <c r="AM9" s="1050"/>
      <c r="AN9" s="1051"/>
      <c r="AO9" s="1051"/>
      <c r="AP9" s="1050">
        <v>30</v>
      </c>
      <c r="AQ9" s="1050"/>
      <c r="AR9" s="1051"/>
      <c r="AS9" s="1051"/>
      <c r="AT9" s="1051"/>
      <c r="AU9" s="1051"/>
      <c r="AV9" s="1051"/>
      <c r="AW9" s="1051"/>
      <c r="AX9" s="1053"/>
      <c r="AY9" s="1053"/>
      <c r="AZ9" s="1051"/>
      <c r="BA9" s="1051"/>
      <c r="BB9" s="1053"/>
      <c r="BC9" s="1054"/>
      <c r="BD9" s="20">
        <f t="shared" si="0"/>
        <v>0</v>
      </c>
      <c r="BE9" s="70">
        <f t="shared" si="1"/>
        <v>88</v>
      </c>
      <c r="BF9" s="47">
        <f t="shared" si="2"/>
        <v>0</v>
      </c>
      <c r="BG9" s="24">
        <f t="shared" si="3"/>
        <v>0</v>
      </c>
      <c r="BH9" s="24">
        <f t="shared" si="4"/>
        <v>0.06</v>
      </c>
      <c r="BI9" s="257">
        <f t="shared" si="5"/>
        <v>0</v>
      </c>
    </row>
    <row r="10" spans="1:61" ht="45.75" customHeight="1" x14ac:dyDescent="0.2">
      <c r="A10" s="1030"/>
      <c r="B10" s="1033"/>
      <c r="C10" s="1056"/>
      <c r="D10" s="58" t="s">
        <v>124</v>
      </c>
      <c r="E10" s="58" t="s">
        <v>125</v>
      </c>
      <c r="F10" s="59">
        <v>0.06</v>
      </c>
      <c r="G10" s="57" t="s">
        <v>123</v>
      </c>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0">
        <v>572</v>
      </c>
      <c r="AI10" s="1050"/>
      <c r="AJ10" s="1051"/>
      <c r="AK10" s="1051"/>
      <c r="AL10" s="1050">
        <v>857</v>
      </c>
      <c r="AM10" s="1050"/>
      <c r="AN10" s="1051"/>
      <c r="AO10" s="1051"/>
      <c r="AP10" s="1050">
        <v>857</v>
      </c>
      <c r="AQ10" s="1050"/>
      <c r="AR10" s="1051"/>
      <c r="AS10" s="1051"/>
      <c r="AT10" s="1051"/>
      <c r="AU10" s="1051"/>
      <c r="AV10" s="1051"/>
      <c r="AW10" s="1051"/>
      <c r="AX10" s="1053"/>
      <c r="AY10" s="1053"/>
      <c r="AZ10" s="1051"/>
      <c r="BA10" s="1051"/>
      <c r="BB10" s="1053"/>
      <c r="BC10" s="1054"/>
      <c r="BD10" s="20">
        <f t="shared" si="0"/>
        <v>0</v>
      </c>
      <c r="BE10" s="70">
        <f t="shared" si="1"/>
        <v>2286</v>
      </c>
      <c r="BF10" s="47">
        <f t="shared" si="2"/>
        <v>0</v>
      </c>
      <c r="BG10" s="24">
        <f t="shared" si="3"/>
        <v>0</v>
      </c>
      <c r="BH10" s="24">
        <f t="shared" si="4"/>
        <v>0.06</v>
      </c>
      <c r="BI10" s="257">
        <f t="shared" si="5"/>
        <v>0</v>
      </c>
    </row>
    <row r="11" spans="1:61" ht="57" x14ac:dyDescent="0.2">
      <c r="A11" s="1030"/>
      <c r="B11" s="1033"/>
      <c r="C11" s="58" t="s">
        <v>126</v>
      </c>
      <c r="D11" s="58" t="s">
        <v>127</v>
      </c>
      <c r="E11" s="58" t="s">
        <v>82</v>
      </c>
      <c r="F11" s="59">
        <v>0.06</v>
      </c>
      <c r="G11" s="57" t="s">
        <v>128</v>
      </c>
      <c r="H11" s="1049">
        <v>5</v>
      </c>
      <c r="I11" s="1049"/>
      <c r="J11" s="1050">
        <v>5</v>
      </c>
      <c r="K11" s="1050"/>
      <c r="L11" s="1049">
        <v>6</v>
      </c>
      <c r="M11" s="1049"/>
      <c r="N11" s="1050">
        <v>6</v>
      </c>
      <c r="O11" s="1050"/>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1"/>
      <c r="AM11" s="1051"/>
      <c r="AN11" s="1051"/>
      <c r="AO11" s="1051"/>
      <c r="AP11" s="1051"/>
      <c r="AQ11" s="1051"/>
      <c r="AR11" s="1051"/>
      <c r="AS11" s="1051"/>
      <c r="AT11" s="1053"/>
      <c r="AU11" s="1053"/>
      <c r="AV11" s="1051"/>
      <c r="AW11" s="1051"/>
      <c r="AX11" s="1053"/>
      <c r="AY11" s="1053"/>
      <c r="AZ11" s="1051"/>
      <c r="BA11" s="1051"/>
      <c r="BB11" s="1053"/>
      <c r="BC11" s="1054"/>
      <c r="BD11" s="20">
        <f t="shared" si="0"/>
        <v>11</v>
      </c>
      <c r="BE11" s="70">
        <f t="shared" si="1"/>
        <v>11</v>
      </c>
      <c r="BF11" s="47">
        <f t="shared" si="2"/>
        <v>1</v>
      </c>
      <c r="BG11" s="24">
        <f t="shared" si="3"/>
        <v>0.06</v>
      </c>
      <c r="BH11" s="24">
        <f t="shared" si="4"/>
        <v>0.06</v>
      </c>
      <c r="BI11" s="257">
        <f t="shared" si="5"/>
        <v>0.06</v>
      </c>
    </row>
    <row r="12" spans="1:61" ht="42.75" x14ac:dyDescent="0.2">
      <c r="A12" s="1030"/>
      <c r="B12" s="1033"/>
      <c r="C12" s="53" t="s">
        <v>129</v>
      </c>
      <c r="D12" s="58" t="s">
        <v>130</v>
      </c>
      <c r="E12" s="58" t="s">
        <v>131</v>
      </c>
      <c r="F12" s="55">
        <v>0.06</v>
      </c>
      <c r="G12" s="57" t="s">
        <v>132</v>
      </c>
      <c r="H12" s="1051"/>
      <c r="I12" s="1051"/>
      <c r="J12" s="1053"/>
      <c r="K12" s="1053"/>
      <c r="L12" s="1051"/>
      <c r="M12" s="1051"/>
      <c r="N12" s="1053"/>
      <c r="O12" s="1053"/>
      <c r="P12" s="1051"/>
      <c r="Q12" s="1051"/>
      <c r="R12" s="1053"/>
      <c r="S12" s="1053"/>
      <c r="T12" s="1051"/>
      <c r="U12" s="1051"/>
      <c r="V12" s="1053"/>
      <c r="W12" s="1053"/>
      <c r="X12" s="1051"/>
      <c r="Y12" s="1051"/>
      <c r="Z12" s="1053"/>
      <c r="AA12" s="1053"/>
      <c r="AB12" s="1051"/>
      <c r="AC12" s="1051"/>
      <c r="AD12" s="1050">
        <v>1</v>
      </c>
      <c r="AE12" s="1050"/>
      <c r="AF12" s="1051"/>
      <c r="AG12" s="1051"/>
      <c r="AH12" s="1053"/>
      <c r="AI12" s="1053"/>
      <c r="AJ12" s="1051"/>
      <c r="AK12" s="1051"/>
      <c r="AL12" s="1050">
        <v>1</v>
      </c>
      <c r="AM12" s="1050"/>
      <c r="AN12" s="1051"/>
      <c r="AO12" s="1051"/>
      <c r="AP12" s="1053"/>
      <c r="AQ12" s="1053"/>
      <c r="AR12" s="1051"/>
      <c r="AS12" s="1051"/>
      <c r="AT12" s="1053"/>
      <c r="AU12" s="1053"/>
      <c r="AV12" s="1051"/>
      <c r="AW12" s="1051"/>
      <c r="AX12" s="1053"/>
      <c r="AY12" s="1053"/>
      <c r="AZ12" s="1051"/>
      <c r="BA12" s="1051"/>
      <c r="BB12" s="1053"/>
      <c r="BC12" s="1054"/>
      <c r="BD12" s="20">
        <f t="shared" si="0"/>
        <v>0</v>
      </c>
      <c r="BE12" s="70">
        <f t="shared" si="1"/>
        <v>2</v>
      </c>
      <c r="BF12" s="47">
        <f t="shared" si="2"/>
        <v>0</v>
      </c>
      <c r="BG12" s="24">
        <f t="shared" si="3"/>
        <v>0</v>
      </c>
      <c r="BH12" s="24">
        <f t="shared" si="4"/>
        <v>0.06</v>
      </c>
      <c r="BI12" s="257">
        <f t="shared" si="5"/>
        <v>0</v>
      </c>
    </row>
    <row r="13" spans="1:61" ht="63.75" customHeight="1" x14ac:dyDescent="0.2">
      <c r="A13" s="1031"/>
      <c r="B13" s="1033"/>
      <c r="C13" s="60" t="s">
        <v>133</v>
      </c>
      <c r="D13" s="58" t="s">
        <v>134</v>
      </c>
      <c r="E13" s="58" t="s">
        <v>135</v>
      </c>
      <c r="F13" s="59">
        <v>0.06</v>
      </c>
      <c r="G13" s="57" t="s">
        <v>136</v>
      </c>
      <c r="H13" s="1051"/>
      <c r="I13" s="1051"/>
      <c r="J13" s="1053"/>
      <c r="K13" s="1053"/>
      <c r="L13" s="1051"/>
      <c r="M13" s="1051"/>
      <c r="N13" s="1053"/>
      <c r="O13" s="1053"/>
      <c r="P13" s="1051"/>
      <c r="Q13" s="1051"/>
      <c r="R13" s="1053"/>
      <c r="S13" s="1053"/>
      <c r="T13" s="1051"/>
      <c r="U13" s="1051"/>
      <c r="V13" s="1053"/>
      <c r="W13" s="1053"/>
      <c r="X13" s="1051"/>
      <c r="Y13" s="1051"/>
      <c r="Z13" s="1053"/>
      <c r="AA13" s="1053"/>
      <c r="AB13" s="1051"/>
      <c r="AC13" s="1051"/>
      <c r="AD13" s="1050">
        <v>1</v>
      </c>
      <c r="AE13" s="1050"/>
      <c r="AF13" s="1051"/>
      <c r="AG13" s="1051"/>
      <c r="AH13" s="1050">
        <v>1</v>
      </c>
      <c r="AI13" s="1050"/>
      <c r="AJ13" s="1051"/>
      <c r="AK13" s="1051"/>
      <c r="AL13" s="1050">
        <v>1</v>
      </c>
      <c r="AM13" s="1050"/>
      <c r="AN13" s="1051"/>
      <c r="AO13" s="1051"/>
      <c r="AP13" s="1053"/>
      <c r="AQ13" s="1053"/>
      <c r="AR13" s="1051"/>
      <c r="AS13" s="1051"/>
      <c r="AT13" s="1053"/>
      <c r="AU13" s="1053"/>
      <c r="AV13" s="1051"/>
      <c r="AW13" s="1051"/>
      <c r="AX13" s="1053"/>
      <c r="AY13" s="1053"/>
      <c r="AZ13" s="1051"/>
      <c r="BA13" s="1051"/>
      <c r="BB13" s="1053"/>
      <c r="BC13" s="1054"/>
      <c r="BD13" s="20">
        <f t="shared" si="0"/>
        <v>0</v>
      </c>
      <c r="BE13" s="70">
        <f t="shared" si="1"/>
        <v>3</v>
      </c>
      <c r="BF13" s="47">
        <f t="shared" si="2"/>
        <v>0</v>
      </c>
      <c r="BG13" s="24">
        <f t="shared" si="3"/>
        <v>0</v>
      </c>
      <c r="BH13" s="24">
        <f t="shared" si="4"/>
        <v>0.06</v>
      </c>
      <c r="BI13" s="257">
        <f t="shared" si="5"/>
        <v>0</v>
      </c>
    </row>
    <row r="14" spans="1:61" ht="63.75" customHeight="1" x14ac:dyDescent="0.2">
      <c r="A14" s="1055" t="s">
        <v>137</v>
      </c>
      <c r="B14" s="61">
        <v>0.1</v>
      </c>
      <c r="C14" s="60" t="s">
        <v>138</v>
      </c>
      <c r="D14" s="58" t="s">
        <v>139</v>
      </c>
      <c r="E14" s="58" t="s">
        <v>140</v>
      </c>
      <c r="F14" s="59">
        <v>0.1</v>
      </c>
      <c r="G14" s="57">
        <v>3.1</v>
      </c>
      <c r="H14" s="1053"/>
      <c r="I14" s="1053"/>
      <c r="J14" s="1053"/>
      <c r="K14" s="1053"/>
      <c r="L14" s="1053"/>
      <c r="M14" s="1053"/>
      <c r="N14" s="1057"/>
      <c r="O14" s="1057"/>
      <c r="P14" s="1053"/>
      <c r="Q14" s="1053"/>
      <c r="R14" s="1057"/>
      <c r="S14" s="1057"/>
      <c r="T14" s="1053"/>
      <c r="U14" s="1053"/>
      <c r="V14" s="1057"/>
      <c r="W14" s="1057"/>
      <c r="X14" s="1053"/>
      <c r="Y14" s="1053"/>
      <c r="Z14" s="1057"/>
      <c r="AA14" s="1057"/>
      <c r="AB14" s="1053"/>
      <c r="AC14" s="1053"/>
      <c r="AD14" s="1057"/>
      <c r="AE14" s="1057"/>
      <c r="AF14" s="1053"/>
      <c r="AG14" s="1053"/>
      <c r="AH14" s="1057"/>
      <c r="AI14" s="1057"/>
      <c r="AJ14" s="1053"/>
      <c r="AK14" s="1053"/>
      <c r="AL14" s="1057"/>
      <c r="AM14" s="1057"/>
      <c r="AN14" s="1053"/>
      <c r="AO14" s="1053"/>
      <c r="AP14" s="1057"/>
      <c r="AQ14" s="1057"/>
      <c r="AR14" s="1053"/>
      <c r="AS14" s="1053"/>
      <c r="AT14" s="1057"/>
      <c r="AU14" s="1057"/>
      <c r="AV14" s="1053"/>
      <c r="AW14" s="1053"/>
      <c r="AX14" s="1053"/>
      <c r="AY14" s="1053"/>
      <c r="AZ14" s="1053"/>
      <c r="BA14" s="1053"/>
      <c r="BB14" s="1063">
        <v>1</v>
      </c>
      <c r="BC14" s="1082"/>
      <c r="BD14" s="20">
        <f t="shared" si="0"/>
        <v>0</v>
      </c>
      <c r="BE14" s="70">
        <f t="shared" si="1"/>
        <v>1</v>
      </c>
      <c r="BF14" s="47">
        <f t="shared" si="2"/>
        <v>0</v>
      </c>
      <c r="BG14" s="24">
        <f t="shared" si="3"/>
        <v>0</v>
      </c>
      <c r="BH14" s="24">
        <f t="shared" si="4"/>
        <v>0.1</v>
      </c>
      <c r="BI14" s="257">
        <f t="shared" si="5"/>
        <v>0</v>
      </c>
    </row>
    <row r="15" spans="1:61" ht="81" customHeight="1" x14ac:dyDescent="0.2">
      <c r="A15" s="1031"/>
      <c r="B15" s="62">
        <v>0.1</v>
      </c>
      <c r="C15" s="63" t="s">
        <v>141</v>
      </c>
      <c r="D15" s="58" t="s">
        <v>142</v>
      </c>
      <c r="E15" s="58" t="s">
        <v>143</v>
      </c>
      <c r="F15" s="64">
        <v>0.1</v>
      </c>
      <c r="G15" s="57">
        <v>3.2</v>
      </c>
      <c r="H15" s="1049">
        <v>2</v>
      </c>
      <c r="I15" s="1049"/>
      <c r="J15" s="1063">
        <v>2</v>
      </c>
      <c r="K15" s="1063"/>
      <c r="L15" s="1049">
        <v>1</v>
      </c>
      <c r="M15" s="1049"/>
      <c r="N15" s="1050">
        <v>1</v>
      </c>
      <c r="O15" s="1050"/>
      <c r="P15" s="1049">
        <v>2</v>
      </c>
      <c r="Q15" s="1049"/>
      <c r="R15" s="1050">
        <v>1</v>
      </c>
      <c r="S15" s="1050"/>
      <c r="T15" s="1051"/>
      <c r="U15" s="1051"/>
      <c r="V15" s="1050">
        <v>1</v>
      </c>
      <c r="W15" s="1050"/>
      <c r="X15" s="1051"/>
      <c r="Y15" s="1051"/>
      <c r="Z15" s="1050">
        <v>1</v>
      </c>
      <c r="AA15" s="1050"/>
      <c r="AB15" s="1051"/>
      <c r="AC15" s="1051"/>
      <c r="AD15" s="1051"/>
      <c r="AE15" s="1051"/>
      <c r="AF15" s="1051"/>
      <c r="AG15" s="1051"/>
      <c r="AH15" s="1051"/>
      <c r="AI15" s="1051"/>
      <c r="AJ15" s="1051"/>
      <c r="AK15" s="1051"/>
      <c r="AL15" s="1053"/>
      <c r="AM15" s="1053"/>
      <c r="AN15" s="1051"/>
      <c r="AO15" s="1051"/>
      <c r="AP15" s="1053"/>
      <c r="AQ15" s="1053"/>
      <c r="AR15" s="1051"/>
      <c r="AS15" s="1051"/>
      <c r="AT15" s="1053"/>
      <c r="AU15" s="1053"/>
      <c r="AV15" s="1051"/>
      <c r="AW15" s="1051"/>
      <c r="AX15" s="1053"/>
      <c r="AY15" s="1053"/>
      <c r="AZ15" s="1051"/>
      <c r="BA15" s="1051"/>
      <c r="BB15" s="1053"/>
      <c r="BC15" s="1054"/>
      <c r="BD15" s="20">
        <f t="shared" si="0"/>
        <v>5</v>
      </c>
      <c r="BE15" s="70">
        <f t="shared" si="1"/>
        <v>6</v>
      </c>
      <c r="BF15" s="47">
        <f t="shared" si="2"/>
        <v>0.83333333333333337</v>
      </c>
      <c r="BG15" s="24">
        <f t="shared" si="3"/>
        <v>8.3333333333333343E-2</v>
      </c>
      <c r="BH15" s="24">
        <f t="shared" si="4"/>
        <v>0.1</v>
      </c>
      <c r="BI15" s="257">
        <f t="shared" si="5"/>
        <v>6.6666666666666666E-2</v>
      </c>
    </row>
    <row r="16" spans="1:61" ht="87.75" customHeight="1" x14ac:dyDescent="0.2">
      <c r="A16" s="1058" t="s">
        <v>144</v>
      </c>
      <c r="B16" s="62">
        <v>0.03</v>
      </c>
      <c r="C16" s="11" t="s">
        <v>145</v>
      </c>
      <c r="D16" s="53" t="s">
        <v>146</v>
      </c>
      <c r="E16" s="58" t="s">
        <v>147</v>
      </c>
      <c r="F16" s="64">
        <v>0.03</v>
      </c>
      <c r="G16" s="57">
        <v>4.0999999999999996</v>
      </c>
      <c r="H16" s="1060">
        <v>8.3299999999999999E-2</v>
      </c>
      <c r="I16" s="1049"/>
      <c r="J16" s="1061">
        <v>8.3299999999999999E-2</v>
      </c>
      <c r="K16" s="1062"/>
      <c r="L16" s="1069">
        <v>8.3299999999999999E-2</v>
      </c>
      <c r="M16" s="1069"/>
      <c r="N16" s="1067">
        <v>8.3299999999999999E-2</v>
      </c>
      <c r="O16" s="1068"/>
      <c r="P16" s="1069">
        <v>8.3299999999999999E-2</v>
      </c>
      <c r="Q16" s="1069"/>
      <c r="R16" s="1061">
        <v>8.3299999999999999E-2</v>
      </c>
      <c r="S16" s="1062"/>
      <c r="T16" s="1066"/>
      <c r="U16" s="1066"/>
      <c r="V16" s="1067">
        <v>8.3299999999999999E-2</v>
      </c>
      <c r="W16" s="1068"/>
      <c r="X16" s="1051"/>
      <c r="Y16" s="1051"/>
      <c r="Z16" s="1061">
        <v>8.3299999999999999E-2</v>
      </c>
      <c r="AA16" s="1062"/>
      <c r="AB16" s="1066"/>
      <c r="AC16" s="1066"/>
      <c r="AD16" s="1067">
        <v>8.3299999999999999E-2</v>
      </c>
      <c r="AE16" s="1068"/>
      <c r="AF16" s="1051"/>
      <c r="AG16" s="1051"/>
      <c r="AH16" s="1061">
        <v>8.3299999999999999E-2</v>
      </c>
      <c r="AI16" s="1062"/>
      <c r="AJ16" s="1066"/>
      <c r="AK16" s="1066"/>
      <c r="AL16" s="1067">
        <v>8.3299999999999999E-2</v>
      </c>
      <c r="AM16" s="1068"/>
      <c r="AN16" s="1051"/>
      <c r="AO16" s="1051"/>
      <c r="AP16" s="1061">
        <v>8.3299999999999999E-2</v>
      </c>
      <c r="AQ16" s="1062"/>
      <c r="AR16" s="1066"/>
      <c r="AS16" s="1066"/>
      <c r="AT16" s="1067">
        <v>8.3299999999999999E-2</v>
      </c>
      <c r="AU16" s="1068"/>
      <c r="AV16" s="1051"/>
      <c r="AW16" s="1051"/>
      <c r="AX16" s="1061">
        <v>8.3299999999999999E-2</v>
      </c>
      <c r="AY16" s="1062"/>
      <c r="AZ16" s="1066"/>
      <c r="BA16" s="1066"/>
      <c r="BB16" s="1067">
        <v>8.3299999999999999E-2</v>
      </c>
      <c r="BC16" s="1068"/>
      <c r="BD16" s="275">
        <f t="shared" si="0"/>
        <v>0.24990000000000001</v>
      </c>
      <c r="BE16" s="71">
        <f t="shared" si="1"/>
        <v>0.99960000000000016</v>
      </c>
      <c r="BF16" s="47">
        <f t="shared" si="2"/>
        <v>0.24999999999999997</v>
      </c>
      <c r="BG16" s="24">
        <f t="shared" si="3"/>
        <v>7.4999999999999989E-3</v>
      </c>
      <c r="BH16" s="24">
        <f t="shared" si="4"/>
        <v>0.03</v>
      </c>
      <c r="BI16" s="257">
        <f t="shared" si="5"/>
        <v>7.4999999999999989E-3</v>
      </c>
    </row>
    <row r="17" spans="1:62" ht="105" customHeight="1" thickBot="1" x14ac:dyDescent="0.25">
      <c r="A17" s="1059"/>
      <c r="B17" s="66">
        <v>0.12</v>
      </c>
      <c r="C17" s="45" t="s">
        <v>148</v>
      </c>
      <c r="D17" s="67" t="s">
        <v>149</v>
      </c>
      <c r="E17" s="67" t="s">
        <v>150</v>
      </c>
      <c r="F17" s="68">
        <v>0.12</v>
      </c>
      <c r="G17" s="69">
        <v>4.2</v>
      </c>
      <c r="H17" s="1064"/>
      <c r="I17" s="1064"/>
      <c r="J17" s="1065"/>
      <c r="K17" s="1065"/>
      <c r="L17" s="1064"/>
      <c r="M17" s="1064"/>
      <c r="N17" s="1065"/>
      <c r="O17" s="1065"/>
      <c r="P17" s="1064"/>
      <c r="Q17" s="1064"/>
      <c r="R17" s="1065"/>
      <c r="S17" s="1065"/>
      <c r="T17" s="1064"/>
      <c r="U17" s="1064"/>
      <c r="V17" s="1070">
        <v>1</v>
      </c>
      <c r="W17" s="1070"/>
      <c r="X17" s="1064"/>
      <c r="Y17" s="1064"/>
      <c r="Z17" s="1065"/>
      <c r="AA17" s="1065"/>
      <c r="AB17" s="1064"/>
      <c r="AC17" s="1064"/>
      <c r="AD17" s="1065"/>
      <c r="AE17" s="1065"/>
      <c r="AF17" s="1064"/>
      <c r="AG17" s="1064"/>
      <c r="AH17" s="1065"/>
      <c r="AI17" s="1065"/>
      <c r="AJ17" s="1064"/>
      <c r="AK17" s="1064"/>
      <c r="AL17" s="1070">
        <v>1</v>
      </c>
      <c r="AM17" s="1070"/>
      <c r="AN17" s="1064"/>
      <c r="AO17" s="1064"/>
      <c r="AP17" s="1065"/>
      <c r="AQ17" s="1065"/>
      <c r="AR17" s="1064"/>
      <c r="AS17" s="1064"/>
      <c r="AT17" s="1065"/>
      <c r="AU17" s="1065"/>
      <c r="AV17" s="1064"/>
      <c r="AW17" s="1064"/>
      <c r="AX17" s="1065"/>
      <c r="AY17" s="1065"/>
      <c r="AZ17" s="1064"/>
      <c r="BA17" s="1064"/>
      <c r="BB17" s="1070">
        <v>1</v>
      </c>
      <c r="BC17" s="1081"/>
      <c r="BD17" s="20">
        <f t="shared" si="0"/>
        <v>0</v>
      </c>
      <c r="BE17" s="70">
        <f t="shared" si="1"/>
        <v>3</v>
      </c>
      <c r="BF17" s="47">
        <f t="shared" si="2"/>
        <v>0</v>
      </c>
      <c r="BG17" s="24">
        <f t="shared" si="3"/>
        <v>0</v>
      </c>
      <c r="BH17" s="24">
        <f t="shared" si="4"/>
        <v>0.12</v>
      </c>
      <c r="BI17" s="257">
        <f>((J17+N17+R17)/BE17)*BH17</f>
        <v>0</v>
      </c>
    </row>
    <row r="18" spans="1:62" ht="33.75" customHeight="1" x14ac:dyDescent="0.2">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G18" s="259">
        <f>SUM(BG5:BG17)</f>
        <v>0.22128333333333336</v>
      </c>
      <c r="BI18" s="259">
        <f>SUM(BI5:BI17)</f>
        <v>0.17266666666666669</v>
      </c>
    </row>
    <row r="19" spans="1:62" x14ac:dyDescent="0.2">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row>
    <row r="22" spans="1:62" ht="25.5" x14ac:dyDescent="0.2">
      <c r="C22" s="866" t="s">
        <v>71</v>
      </c>
      <c r="D22" s="867" t="s">
        <v>73</v>
      </c>
      <c r="E22" s="867" t="s">
        <v>72</v>
      </c>
      <c r="BF22" s="27" t="s">
        <v>835</v>
      </c>
      <c r="BI22" s="72" t="s">
        <v>1191</v>
      </c>
      <c r="BJ22" s="1"/>
    </row>
    <row r="23" spans="1:62" ht="51" customHeight="1" x14ac:dyDescent="0.2">
      <c r="C23" s="25" t="str">
        <f>A5</f>
        <v>1 . Desarrollar campañas de promocion del modelo asociativo solidario</v>
      </c>
      <c r="D23" s="26">
        <f>BH5+BH6+BH7+BH8</f>
        <v>0.35</v>
      </c>
      <c r="E23" s="26">
        <f>BG5+BG6+BG7+BG8</f>
        <v>7.0449999999999999E-2</v>
      </c>
      <c r="BF23" s="336" t="s">
        <v>830</v>
      </c>
      <c r="BG23" s="337"/>
      <c r="BI23" s="336" t="s">
        <v>830</v>
      </c>
      <c r="BJ23" s="337">
        <v>0</v>
      </c>
    </row>
    <row r="24" spans="1:62" ht="51" customHeight="1" x14ac:dyDescent="0.2">
      <c r="C24" s="25" t="str">
        <f>A9</f>
        <v>2. Fomentar y fortalecer organizaciones solidarias, en los sectores agropecuario, cultura, turismo, minero, inclusion social y otros que se prioricen de acuerdo al PND</v>
      </c>
      <c r="D24" s="26">
        <f>BH9+BH10+BH11+BH12+BH13</f>
        <v>0.3</v>
      </c>
      <c r="E24" s="26">
        <f>BG9+BG10+BG11+BG12+BG13</f>
        <v>0.06</v>
      </c>
      <c r="BF24" s="336" t="s">
        <v>831</v>
      </c>
      <c r="BG24" s="337"/>
      <c r="BI24" s="336" t="s">
        <v>831</v>
      </c>
      <c r="BJ24" s="337"/>
    </row>
    <row r="25" spans="1:62" ht="51" customHeight="1" x14ac:dyDescent="0.2">
      <c r="C25" s="25" t="str">
        <f>A14</f>
        <v>3. Articular esfuerzos con entes y actores nacionales o territoriales publicos o privados para la promocion de la asociatividad solidaria aprovechando la vocacion productiva de las regiones</v>
      </c>
      <c r="D25" s="26">
        <f>BH14+BH15</f>
        <v>0.2</v>
      </c>
      <c r="E25" s="26">
        <f>BG14+BG15</f>
        <v>8.3333333333333343E-2</v>
      </c>
      <c r="BF25" s="336" t="s">
        <v>832</v>
      </c>
      <c r="BG25" s="337"/>
      <c r="BI25" s="336" t="s">
        <v>832</v>
      </c>
      <c r="BJ25" s="337"/>
    </row>
    <row r="26" spans="1:62" ht="51" customHeight="1" x14ac:dyDescent="0.2">
      <c r="C26" s="25" t="str">
        <f>A16</f>
        <v>4. Apoyar el desarrollo de las actividades necesarias para la implementación de los criterios de Gobierno en Línea en la Unidad Administrativa Especial de Organizaciones Solidarias</v>
      </c>
      <c r="D26" s="26">
        <f>BH16+BH17</f>
        <v>0.15</v>
      </c>
      <c r="E26" s="26">
        <f>BG16+BG17</f>
        <v>7.4999999999999989E-3</v>
      </c>
      <c r="BF26" s="336" t="s">
        <v>833</v>
      </c>
      <c r="BG26" s="337"/>
      <c r="BI26" s="336" t="s">
        <v>833</v>
      </c>
      <c r="BJ26" s="337"/>
    </row>
    <row r="27" spans="1:62" x14ac:dyDescent="0.2">
      <c r="C27" s="868" t="s">
        <v>66</v>
      </c>
      <c r="D27" s="869">
        <f>SUM(D23:D26)</f>
        <v>0.99999999999999989</v>
      </c>
      <c r="E27" s="869">
        <f>SUM(E23:E26)</f>
        <v>0.22128333333333336</v>
      </c>
    </row>
    <row r="38" spans="2:5" ht="25.5" x14ac:dyDescent="0.2">
      <c r="C38" s="874" t="str">
        <f>C22</f>
        <v>ACTIVIDADES GENERALES</v>
      </c>
      <c r="D38" s="874" t="str">
        <f>D22</f>
        <v>% AVANCE ESPERADO X ACTIVIDAD</v>
      </c>
      <c r="E38" s="874" t="str">
        <f>E22</f>
        <v>% AVANCE EJECUTADO X ACTIVIDAD</v>
      </c>
    </row>
    <row r="39" spans="2:5" s="274" customFormat="1" ht="36" customHeight="1" x14ac:dyDescent="0.2">
      <c r="B39" s="2"/>
      <c r="C39" s="261" t="str">
        <f>C23</f>
        <v>1 . Desarrollar campañas de promocion del modelo asociativo solidario</v>
      </c>
      <c r="D39" s="268">
        <f>BI5+BI6+BI7+BI8</f>
        <v>3.8500000000000006E-2</v>
      </c>
      <c r="E39" s="268">
        <f>E23</f>
        <v>7.0449999999999999E-2</v>
      </c>
    </row>
    <row r="40" spans="2:5" s="274" customFormat="1" ht="36" customHeight="1" x14ac:dyDescent="0.2">
      <c r="B40" s="2"/>
      <c r="C40" s="261" t="str">
        <f>C24</f>
        <v>2. Fomentar y fortalecer organizaciones solidarias, en los sectores agropecuario, cultura, turismo, minero, inclusion social y otros que se prioricen de acuerdo al PND</v>
      </c>
      <c r="D40" s="268">
        <f>BI9+BI10+BI11+BI12+BI13</f>
        <v>0.06</v>
      </c>
      <c r="E40" s="268">
        <f>E24</f>
        <v>0.06</v>
      </c>
    </row>
    <row r="41" spans="2:5" s="274" customFormat="1" ht="36" customHeight="1" x14ac:dyDescent="0.2">
      <c r="B41" s="2"/>
      <c r="C41" s="261" t="str">
        <f>C25</f>
        <v>3. Articular esfuerzos con entes y actores nacionales o territoriales publicos o privados para la promocion de la asociatividad solidaria aprovechando la vocacion productiva de las regiones</v>
      </c>
      <c r="D41" s="268">
        <f>BI14+BI15</f>
        <v>6.6666666666666666E-2</v>
      </c>
      <c r="E41" s="268">
        <f>E25</f>
        <v>8.3333333333333343E-2</v>
      </c>
    </row>
    <row r="42" spans="2:5" s="274" customFormat="1" ht="42" customHeight="1" x14ac:dyDescent="0.2">
      <c r="B42" s="2"/>
      <c r="C42" s="261" t="str">
        <f>C26</f>
        <v>4. Apoyar el desarrollo de las actividades necesarias para la implementación de los criterios de Gobierno en Línea en la Unidad Administrativa Especial de Organizaciones Solidarias</v>
      </c>
      <c r="D42" s="268">
        <f>BI16+BI17</f>
        <v>7.4999999999999989E-3</v>
      </c>
      <c r="E42" s="268">
        <f>E26</f>
        <v>7.4999999999999989E-3</v>
      </c>
    </row>
    <row r="43" spans="2:5" x14ac:dyDescent="0.2">
      <c r="C43" s="874" t="str">
        <f>C27</f>
        <v>TOTAL</v>
      </c>
      <c r="D43" s="875">
        <f>SUM(D39:D42)</f>
        <v>0.17266666666666669</v>
      </c>
      <c r="E43" s="875">
        <f>E27</f>
        <v>0.22128333333333336</v>
      </c>
    </row>
  </sheetData>
  <mergeCells count="369">
    <mergeCell ref="BF3:BF4"/>
    <mergeCell ref="BG3:BG4"/>
    <mergeCell ref="BH3:BH4"/>
    <mergeCell ref="AR17:AS17"/>
    <mergeCell ref="AT17:AU17"/>
    <mergeCell ref="AV17:AW17"/>
    <mergeCell ref="AX17:AY17"/>
    <mergeCell ref="AZ17:BA17"/>
    <mergeCell ref="BB17:BC17"/>
    <mergeCell ref="AV16:AW16"/>
    <mergeCell ref="AX16:AY16"/>
    <mergeCell ref="AZ16:BA16"/>
    <mergeCell ref="BB16:BC16"/>
    <mergeCell ref="AV15:AW15"/>
    <mergeCell ref="AX15:AY15"/>
    <mergeCell ref="AZ15:BA15"/>
    <mergeCell ref="BB15:BC15"/>
    <mergeCell ref="AZ14:BA14"/>
    <mergeCell ref="BB14:BC14"/>
    <mergeCell ref="BB12:BC12"/>
    <mergeCell ref="AZ11:BA11"/>
    <mergeCell ref="BB11:BC11"/>
    <mergeCell ref="AX13:AY13"/>
    <mergeCell ref="AZ13:BA13"/>
    <mergeCell ref="AP17:AQ17"/>
    <mergeCell ref="T17:U17"/>
    <mergeCell ref="V17:W17"/>
    <mergeCell ref="X17:Y17"/>
    <mergeCell ref="Z17:AA17"/>
    <mergeCell ref="AB17:AC17"/>
    <mergeCell ref="AD17:AE17"/>
    <mergeCell ref="BD3:BD4"/>
    <mergeCell ref="BE3:BE4"/>
    <mergeCell ref="AP16:AQ16"/>
    <mergeCell ref="AR16:AS16"/>
    <mergeCell ref="AT16:AU16"/>
    <mergeCell ref="AN15:AO15"/>
    <mergeCell ref="AP15:AQ15"/>
    <mergeCell ref="AR15:AS15"/>
    <mergeCell ref="AT15:AU15"/>
    <mergeCell ref="X15:Y15"/>
    <mergeCell ref="Z15:AA15"/>
    <mergeCell ref="AB15:AC15"/>
    <mergeCell ref="AD15:AE15"/>
    <mergeCell ref="AF15:AG15"/>
    <mergeCell ref="AH15:AI15"/>
    <mergeCell ref="AB14:AC14"/>
    <mergeCell ref="AD14:AE14"/>
    <mergeCell ref="P17:Q17"/>
    <mergeCell ref="R17:S17"/>
    <mergeCell ref="AJ16:AK16"/>
    <mergeCell ref="AL16:AM16"/>
    <mergeCell ref="AN16:AO16"/>
    <mergeCell ref="L16:M16"/>
    <mergeCell ref="N16:O16"/>
    <mergeCell ref="P16:Q16"/>
    <mergeCell ref="R16:S16"/>
    <mergeCell ref="T16:U16"/>
    <mergeCell ref="V16:W16"/>
    <mergeCell ref="AF17:AG17"/>
    <mergeCell ref="AH17:AI17"/>
    <mergeCell ref="AJ17:AK17"/>
    <mergeCell ref="AL17:AM17"/>
    <mergeCell ref="AN17:AO17"/>
    <mergeCell ref="X16:Y16"/>
    <mergeCell ref="Z16:AA16"/>
    <mergeCell ref="AB16:AC16"/>
    <mergeCell ref="AD16:AE16"/>
    <mergeCell ref="AF16:AG16"/>
    <mergeCell ref="AH16:AI16"/>
    <mergeCell ref="AF14:AG14"/>
    <mergeCell ref="AH14:AI14"/>
    <mergeCell ref="AJ14:AK14"/>
    <mergeCell ref="AL14:AM14"/>
    <mergeCell ref="A16:A17"/>
    <mergeCell ref="H16:I16"/>
    <mergeCell ref="J16:K16"/>
    <mergeCell ref="AJ15:AK15"/>
    <mergeCell ref="AL15:AM15"/>
    <mergeCell ref="H15:I15"/>
    <mergeCell ref="J15:K15"/>
    <mergeCell ref="L15:M15"/>
    <mergeCell ref="N15:O15"/>
    <mergeCell ref="P15:Q15"/>
    <mergeCell ref="R15:S15"/>
    <mergeCell ref="T15:U15"/>
    <mergeCell ref="V15:W15"/>
    <mergeCell ref="A14:A15"/>
    <mergeCell ref="H17:I17"/>
    <mergeCell ref="J17:K17"/>
    <mergeCell ref="L17:M17"/>
    <mergeCell ref="N17:O17"/>
    <mergeCell ref="H14:I14"/>
    <mergeCell ref="J14:K14"/>
    <mergeCell ref="AJ13:AK13"/>
    <mergeCell ref="AJ12:AK12"/>
    <mergeCell ref="AL12:AM12"/>
    <mergeCell ref="AN12:AO12"/>
    <mergeCell ref="BB13:BC13"/>
    <mergeCell ref="AV13:AW13"/>
    <mergeCell ref="AN14:AO14"/>
    <mergeCell ref="AP14:AQ14"/>
    <mergeCell ref="AR14:AS14"/>
    <mergeCell ref="AT14:AU14"/>
    <mergeCell ref="AV14:AW14"/>
    <mergeCell ref="AX14:AY14"/>
    <mergeCell ref="AP13:AQ13"/>
    <mergeCell ref="AR13:AS13"/>
    <mergeCell ref="AT13:AU13"/>
    <mergeCell ref="L14:M14"/>
    <mergeCell ref="N14:O14"/>
    <mergeCell ref="AL13:AM13"/>
    <mergeCell ref="AN13:AO13"/>
    <mergeCell ref="H13:I13"/>
    <mergeCell ref="J13:K13"/>
    <mergeCell ref="L13:M13"/>
    <mergeCell ref="N13:O13"/>
    <mergeCell ref="P13:Q13"/>
    <mergeCell ref="R13:S13"/>
    <mergeCell ref="T13:U13"/>
    <mergeCell ref="V13:W13"/>
    <mergeCell ref="X13:Y13"/>
    <mergeCell ref="P14:Q14"/>
    <mergeCell ref="R14:S14"/>
    <mergeCell ref="T14:U14"/>
    <mergeCell ref="V14:W14"/>
    <mergeCell ref="X14:Y14"/>
    <mergeCell ref="Z14:AA14"/>
    <mergeCell ref="Z13:AA13"/>
    <mergeCell ref="AB13:AC13"/>
    <mergeCell ref="AD13:AE13"/>
    <mergeCell ref="AF13:AG13"/>
    <mergeCell ref="AH13:AI13"/>
    <mergeCell ref="AX11:AY11"/>
    <mergeCell ref="AP11:AQ11"/>
    <mergeCell ref="AR11:AS11"/>
    <mergeCell ref="AP12:AQ12"/>
    <mergeCell ref="AR12:AS12"/>
    <mergeCell ref="AT12:AU12"/>
    <mergeCell ref="AV12:AW12"/>
    <mergeCell ref="AX12:AY12"/>
    <mergeCell ref="AZ12:BA12"/>
    <mergeCell ref="H12:I12"/>
    <mergeCell ref="J12:K12"/>
    <mergeCell ref="L12:M12"/>
    <mergeCell ref="N12:O12"/>
    <mergeCell ref="P12:Q12"/>
    <mergeCell ref="AH11:AI11"/>
    <mergeCell ref="AJ11:AK11"/>
    <mergeCell ref="AL11:AM11"/>
    <mergeCell ref="AN11:AO11"/>
    <mergeCell ref="V11:W11"/>
    <mergeCell ref="X11:Y11"/>
    <mergeCell ref="Z11:AA11"/>
    <mergeCell ref="AB11:AC11"/>
    <mergeCell ref="AD11:AE11"/>
    <mergeCell ref="AF11:AG11"/>
    <mergeCell ref="R12:S12"/>
    <mergeCell ref="T12:U12"/>
    <mergeCell ref="V12:W12"/>
    <mergeCell ref="X12:Y12"/>
    <mergeCell ref="Z12:AA12"/>
    <mergeCell ref="AB12:AC12"/>
    <mergeCell ref="AD12:AE12"/>
    <mergeCell ref="AF12:AG12"/>
    <mergeCell ref="AH12:AI12"/>
    <mergeCell ref="AX10:AY10"/>
    <mergeCell ref="AZ10:BA10"/>
    <mergeCell ref="BB10:BC10"/>
    <mergeCell ref="H11:I11"/>
    <mergeCell ref="J11:K11"/>
    <mergeCell ref="L11:M11"/>
    <mergeCell ref="N11:O11"/>
    <mergeCell ref="P11:Q11"/>
    <mergeCell ref="R11:S11"/>
    <mergeCell ref="T11:U11"/>
    <mergeCell ref="AL10:AM10"/>
    <mergeCell ref="AN10:AO10"/>
    <mergeCell ref="AP10:AQ10"/>
    <mergeCell ref="AR10:AS10"/>
    <mergeCell ref="AT10:AU10"/>
    <mergeCell ref="AV10:AW10"/>
    <mergeCell ref="Z10:AA10"/>
    <mergeCell ref="AB10:AC10"/>
    <mergeCell ref="AD10:AE10"/>
    <mergeCell ref="AF10:AG10"/>
    <mergeCell ref="AH10:AI10"/>
    <mergeCell ref="AJ10:AK10"/>
    <mergeCell ref="AT11:AU11"/>
    <mergeCell ref="AV11:AW11"/>
    <mergeCell ref="BB9:BC9"/>
    <mergeCell ref="H10:I10"/>
    <mergeCell ref="J10:K10"/>
    <mergeCell ref="L10:M10"/>
    <mergeCell ref="N10:O10"/>
    <mergeCell ref="P10:Q10"/>
    <mergeCell ref="R10:S10"/>
    <mergeCell ref="T10:U10"/>
    <mergeCell ref="V10:W10"/>
    <mergeCell ref="X10:Y10"/>
    <mergeCell ref="AP9:AQ9"/>
    <mergeCell ref="AR9:AS9"/>
    <mergeCell ref="AT9:AU9"/>
    <mergeCell ref="AV9:AW9"/>
    <mergeCell ref="AX9:AY9"/>
    <mergeCell ref="AZ9:BA9"/>
    <mergeCell ref="AD9:AE9"/>
    <mergeCell ref="AF9:AG9"/>
    <mergeCell ref="AH9:AI9"/>
    <mergeCell ref="AJ9:AK9"/>
    <mergeCell ref="AL9:AM9"/>
    <mergeCell ref="AN9:AO9"/>
    <mergeCell ref="R9:S9"/>
    <mergeCell ref="T9:U9"/>
    <mergeCell ref="V9:W9"/>
    <mergeCell ref="X9:Y9"/>
    <mergeCell ref="Z9:AA9"/>
    <mergeCell ref="AB9:AC9"/>
    <mergeCell ref="C9:C10"/>
    <mergeCell ref="H9:I9"/>
    <mergeCell ref="J9:K9"/>
    <mergeCell ref="L9:M9"/>
    <mergeCell ref="N9:O9"/>
    <mergeCell ref="P9:Q9"/>
    <mergeCell ref="A9:A13"/>
    <mergeCell ref="B9:B13"/>
    <mergeCell ref="AR8:AS8"/>
    <mergeCell ref="AT8:AU8"/>
    <mergeCell ref="AV8:AW8"/>
    <mergeCell ref="AX8:AY8"/>
    <mergeCell ref="AZ8:BA8"/>
    <mergeCell ref="BB8:BC8"/>
    <mergeCell ref="AF8:AG8"/>
    <mergeCell ref="AH8:AI8"/>
    <mergeCell ref="AJ8:AK8"/>
    <mergeCell ref="AL8:AM8"/>
    <mergeCell ref="AN8:AO8"/>
    <mergeCell ref="AP8:AQ8"/>
    <mergeCell ref="T8:U8"/>
    <mergeCell ref="V8:W8"/>
    <mergeCell ref="X8:Y8"/>
    <mergeCell ref="Z8:AA8"/>
    <mergeCell ref="AB8:AC8"/>
    <mergeCell ref="AD8:AE8"/>
    <mergeCell ref="H8:I8"/>
    <mergeCell ref="J8:K8"/>
    <mergeCell ref="L8:M8"/>
    <mergeCell ref="N8:O8"/>
    <mergeCell ref="P8:Q8"/>
    <mergeCell ref="R8:S8"/>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AV6:AW6"/>
    <mergeCell ref="AX6:AY6"/>
    <mergeCell ref="AZ6:BA6"/>
    <mergeCell ref="BB6:BC6"/>
    <mergeCell ref="H7:I7"/>
    <mergeCell ref="J7:K7"/>
    <mergeCell ref="L7:M7"/>
    <mergeCell ref="N7:O7"/>
    <mergeCell ref="P7:Q7"/>
    <mergeCell ref="R7:S7"/>
    <mergeCell ref="AJ6:AK6"/>
    <mergeCell ref="AL6:AM6"/>
    <mergeCell ref="AN6:AO6"/>
    <mergeCell ref="AP6:AQ6"/>
    <mergeCell ref="AR6:AS6"/>
    <mergeCell ref="AT6:AU6"/>
    <mergeCell ref="X6:Y6"/>
    <mergeCell ref="Z6:AA6"/>
    <mergeCell ref="AB6:AC6"/>
    <mergeCell ref="AD6:AE6"/>
    <mergeCell ref="AF6:AG6"/>
    <mergeCell ref="AH6:AI6"/>
    <mergeCell ref="AZ5:BA5"/>
    <mergeCell ref="BB5:BC5"/>
    <mergeCell ref="H6:I6"/>
    <mergeCell ref="J6:K6"/>
    <mergeCell ref="L6:M6"/>
    <mergeCell ref="N6:O6"/>
    <mergeCell ref="P6:Q6"/>
    <mergeCell ref="R6:S6"/>
    <mergeCell ref="T6:U6"/>
    <mergeCell ref="V6:W6"/>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T5:U5"/>
    <mergeCell ref="V5:W5"/>
    <mergeCell ref="X5:Y5"/>
    <mergeCell ref="Z5:AA5"/>
    <mergeCell ref="C5:C6"/>
    <mergeCell ref="G5:G6"/>
    <mergeCell ref="H5:I5"/>
    <mergeCell ref="J5:K5"/>
    <mergeCell ref="L5:M5"/>
    <mergeCell ref="N5:O5"/>
    <mergeCell ref="A5:A8"/>
    <mergeCell ref="B5:B8"/>
    <mergeCell ref="AR4:AS4"/>
    <mergeCell ref="AT4:AU4"/>
    <mergeCell ref="AV4:AW4"/>
    <mergeCell ref="AX4:AY4"/>
    <mergeCell ref="AZ4:BA4"/>
    <mergeCell ref="BB4:BC4"/>
    <mergeCell ref="AF4:AG4"/>
    <mergeCell ref="AH4:AI4"/>
    <mergeCell ref="AJ4:AK4"/>
    <mergeCell ref="AL4:AM4"/>
    <mergeCell ref="AN4:AO4"/>
    <mergeCell ref="AP4:AQ4"/>
    <mergeCell ref="T4:U4"/>
    <mergeCell ref="V4:W4"/>
    <mergeCell ref="X4:Y4"/>
    <mergeCell ref="Z4:AA4"/>
    <mergeCell ref="AB4:AC4"/>
    <mergeCell ref="AD4:AE4"/>
    <mergeCell ref="G3:G4"/>
    <mergeCell ref="C3:C4"/>
    <mergeCell ref="D3:D4"/>
    <mergeCell ref="E3:E4"/>
    <mergeCell ref="F3:F4"/>
    <mergeCell ref="A3:A4"/>
    <mergeCell ref="B3:B4"/>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s>
  <conditionalFormatting sqref="BF5:BF17">
    <cfRule type="cellIs" dxfId="154" priority="1" operator="between">
      <formula>"0.5"</formula>
      <formula>1</formula>
    </cfRule>
  </conditionalFormatting>
  <printOptions horizontalCentered="1" verticalCentered="1"/>
  <pageMargins left="0.23622047244094491" right="0.23622047244094491" top="0.55118110236220474" bottom="0.74803149606299213" header="0.31496062992125984" footer="0.31496062992125984"/>
  <pageSetup paperSize="41" scale="50" orientation="landscape" r:id="rId1"/>
  <headerFooter alignWithMargins="0">
    <oddFoote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topLeftCell="D7" zoomScale="60" zoomScaleNormal="60" zoomScaleSheetLayoutView="100" workbookViewId="0">
      <selection activeCell="C37" sqref="C37:E43"/>
    </sheetView>
  </sheetViews>
  <sheetFormatPr baseColWidth="10" defaultRowHeight="12.75" x14ac:dyDescent="0.2"/>
  <cols>
    <col min="1" max="1" width="34" style="72" customWidth="1"/>
    <col min="2" max="2" width="23" style="190" customWidth="1"/>
    <col min="3" max="3" width="37.5703125" style="72" customWidth="1"/>
    <col min="4" max="4" width="40.7109375" style="72" customWidth="1"/>
    <col min="5" max="5" width="51.5703125" style="72" customWidth="1"/>
    <col min="6" max="6" width="23.42578125" style="72" customWidth="1"/>
    <col min="7" max="7" width="13.85546875" style="72" customWidth="1"/>
    <col min="8" max="55" width="4.5703125" style="72" customWidth="1"/>
    <col min="56" max="57" width="8" style="72" customWidth="1"/>
    <col min="58" max="59" width="11.42578125" style="72" customWidth="1"/>
    <col min="60" max="60" width="23.85546875" style="72" customWidth="1"/>
    <col min="61" max="16384" width="11.42578125" style="72"/>
  </cols>
  <sheetData>
    <row r="1" spans="1:61" ht="15" x14ac:dyDescent="0.2">
      <c r="H1" s="282"/>
    </row>
    <row r="2" spans="1:61" ht="15.75" thickBot="1" x14ac:dyDescent="0.25">
      <c r="H2" s="282"/>
    </row>
    <row r="3" spans="1:61" ht="48" customHeight="1" x14ac:dyDescent="0.2">
      <c r="A3" s="1127" t="s">
        <v>735</v>
      </c>
      <c r="B3" s="1135" t="s">
        <v>736</v>
      </c>
      <c r="C3" s="1127" t="s">
        <v>737</v>
      </c>
      <c r="D3" s="1127" t="s">
        <v>738</v>
      </c>
      <c r="E3" s="1127" t="s">
        <v>739</v>
      </c>
      <c r="F3" s="1133" t="s">
        <v>740</v>
      </c>
      <c r="G3" s="1127" t="s">
        <v>6</v>
      </c>
      <c r="H3" s="1129" t="s">
        <v>7</v>
      </c>
      <c r="I3" s="1129"/>
      <c r="J3" s="1129"/>
      <c r="K3" s="1129"/>
      <c r="L3" s="1129" t="s">
        <v>8</v>
      </c>
      <c r="M3" s="1129"/>
      <c r="N3" s="1129"/>
      <c r="O3" s="1129"/>
      <c r="P3" s="1129" t="s">
        <v>9</v>
      </c>
      <c r="Q3" s="1129"/>
      <c r="R3" s="1129"/>
      <c r="S3" s="1129"/>
      <c r="T3" s="1129" t="s">
        <v>10</v>
      </c>
      <c r="U3" s="1129"/>
      <c r="V3" s="1129"/>
      <c r="W3" s="1129"/>
      <c r="X3" s="1129" t="s">
        <v>11</v>
      </c>
      <c r="Y3" s="1129"/>
      <c r="Z3" s="1129"/>
      <c r="AA3" s="1129"/>
      <c r="AB3" s="1129" t="s">
        <v>12</v>
      </c>
      <c r="AC3" s="1129"/>
      <c r="AD3" s="1129"/>
      <c r="AE3" s="1129"/>
      <c r="AF3" s="1129" t="s">
        <v>13</v>
      </c>
      <c r="AG3" s="1129"/>
      <c r="AH3" s="1129"/>
      <c r="AI3" s="1129"/>
      <c r="AJ3" s="1129" t="s">
        <v>14</v>
      </c>
      <c r="AK3" s="1129"/>
      <c r="AL3" s="1129"/>
      <c r="AM3" s="1129"/>
      <c r="AN3" s="1129" t="s">
        <v>15</v>
      </c>
      <c r="AO3" s="1129"/>
      <c r="AP3" s="1129"/>
      <c r="AQ3" s="1129"/>
      <c r="AR3" s="1129" t="s">
        <v>16</v>
      </c>
      <c r="AS3" s="1129"/>
      <c r="AT3" s="1129"/>
      <c r="AU3" s="1129"/>
      <c r="AV3" s="1129" t="s">
        <v>17</v>
      </c>
      <c r="AW3" s="1129"/>
      <c r="AX3" s="1129"/>
      <c r="AY3" s="1129"/>
      <c r="AZ3" s="1129" t="s">
        <v>18</v>
      </c>
      <c r="BA3" s="1129"/>
      <c r="BB3" s="1129"/>
      <c r="BC3" s="1131"/>
      <c r="BD3" s="1088" t="s">
        <v>66</v>
      </c>
      <c r="BE3" s="1090" t="s">
        <v>67</v>
      </c>
      <c r="BF3" s="1075" t="s">
        <v>68</v>
      </c>
      <c r="BG3" s="1077" t="s">
        <v>69</v>
      </c>
      <c r="BH3" s="1079" t="s">
        <v>70</v>
      </c>
    </row>
    <row r="4" spans="1:61" ht="78" customHeight="1" thickBot="1" x14ac:dyDescent="0.25">
      <c r="A4" s="1128"/>
      <c r="B4" s="1136"/>
      <c r="C4" s="1128"/>
      <c r="D4" s="1128"/>
      <c r="E4" s="1128"/>
      <c r="F4" s="1134"/>
      <c r="G4" s="1128"/>
      <c r="H4" s="1130" t="s">
        <v>19</v>
      </c>
      <c r="I4" s="1130"/>
      <c r="J4" s="1130" t="s">
        <v>20</v>
      </c>
      <c r="K4" s="1130"/>
      <c r="L4" s="1130" t="s">
        <v>19</v>
      </c>
      <c r="M4" s="1130"/>
      <c r="N4" s="1130" t="s">
        <v>20</v>
      </c>
      <c r="O4" s="1130"/>
      <c r="P4" s="1130" t="s">
        <v>19</v>
      </c>
      <c r="Q4" s="1130"/>
      <c r="R4" s="1130" t="s">
        <v>20</v>
      </c>
      <c r="S4" s="1130"/>
      <c r="T4" s="1130" t="s">
        <v>19</v>
      </c>
      <c r="U4" s="1130"/>
      <c r="V4" s="1130" t="s">
        <v>20</v>
      </c>
      <c r="W4" s="1130"/>
      <c r="X4" s="1130" t="s">
        <v>19</v>
      </c>
      <c r="Y4" s="1130"/>
      <c r="Z4" s="1130" t="s">
        <v>20</v>
      </c>
      <c r="AA4" s="1130"/>
      <c r="AB4" s="1130" t="s">
        <v>19</v>
      </c>
      <c r="AC4" s="1130"/>
      <c r="AD4" s="1130" t="s">
        <v>20</v>
      </c>
      <c r="AE4" s="1130"/>
      <c r="AF4" s="1130" t="s">
        <v>19</v>
      </c>
      <c r="AG4" s="1130"/>
      <c r="AH4" s="1130" t="s">
        <v>20</v>
      </c>
      <c r="AI4" s="1130"/>
      <c r="AJ4" s="1130" t="s">
        <v>19</v>
      </c>
      <c r="AK4" s="1130"/>
      <c r="AL4" s="1130" t="s">
        <v>20</v>
      </c>
      <c r="AM4" s="1130"/>
      <c r="AN4" s="1130" t="s">
        <v>19</v>
      </c>
      <c r="AO4" s="1130"/>
      <c r="AP4" s="1130" t="s">
        <v>20</v>
      </c>
      <c r="AQ4" s="1130"/>
      <c r="AR4" s="1130" t="s">
        <v>19</v>
      </c>
      <c r="AS4" s="1130"/>
      <c r="AT4" s="1130" t="s">
        <v>20</v>
      </c>
      <c r="AU4" s="1130"/>
      <c r="AV4" s="1130" t="s">
        <v>19</v>
      </c>
      <c r="AW4" s="1130"/>
      <c r="AX4" s="1130" t="s">
        <v>20</v>
      </c>
      <c r="AY4" s="1130"/>
      <c r="AZ4" s="1130" t="s">
        <v>19</v>
      </c>
      <c r="BA4" s="1130"/>
      <c r="BB4" s="1130" t="s">
        <v>20</v>
      </c>
      <c r="BC4" s="1132"/>
      <c r="BD4" s="1089"/>
      <c r="BE4" s="1091"/>
      <c r="BF4" s="1085"/>
      <c r="BG4" s="1086"/>
      <c r="BH4" s="1087"/>
    </row>
    <row r="5" spans="1:61" ht="71.25" customHeight="1" x14ac:dyDescent="0.2">
      <c r="A5" s="1137" t="s">
        <v>151</v>
      </c>
      <c r="B5" s="1138">
        <v>0.2</v>
      </c>
      <c r="C5" s="283" t="s">
        <v>152</v>
      </c>
      <c r="D5" s="74" t="s">
        <v>153</v>
      </c>
      <c r="E5" s="73" t="s">
        <v>154</v>
      </c>
      <c r="F5" s="75">
        <v>0.1</v>
      </c>
      <c r="G5" s="76">
        <v>1.1000000000000001</v>
      </c>
      <c r="H5" s="1106"/>
      <c r="I5" s="1106"/>
      <c r="J5" s="1092"/>
      <c r="K5" s="1092"/>
      <c r="L5" s="1125"/>
      <c r="M5" s="1125"/>
      <c r="N5" s="1092"/>
      <c r="O5" s="1092"/>
      <c r="P5" s="1126">
        <v>0</v>
      </c>
      <c r="Q5" s="1126"/>
      <c r="R5" s="1121">
        <v>0.1</v>
      </c>
      <c r="S5" s="1122"/>
      <c r="T5" s="1092"/>
      <c r="U5" s="1092"/>
      <c r="V5" s="1121">
        <v>0.1</v>
      </c>
      <c r="W5" s="1122"/>
      <c r="X5" s="1092"/>
      <c r="Y5" s="1092"/>
      <c r="Z5" s="1121">
        <v>0.1</v>
      </c>
      <c r="AA5" s="1122"/>
      <c r="AB5" s="1092"/>
      <c r="AC5" s="1092"/>
      <c r="AD5" s="1121">
        <v>0.1</v>
      </c>
      <c r="AE5" s="1122"/>
      <c r="AF5" s="1092"/>
      <c r="AG5" s="1092"/>
      <c r="AH5" s="1121">
        <v>0.1</v>
      </c>
      <c r="AI5" s="1122"/>
      <c r="AJ5" s="1092"/>
      <c r="AK5" s="1092"/>
      <c r="AL5" s="1121">
        <v>0.1</v>
      </c>
      <c r="AM5" s="1122"/>
      <c r="AN5" s="1092"/>
      <c r="AO5" s="1092"/>
      <c r="AP5" s="1121">
        <v>0.1</v>
      </c>
      <c r="AQ5" s="1122"/>
      <c r="AR5" s="1092"/>
      <c r="AS5" s="1092"/>
      <c r="AT5" s="1121">
        <v>0.1</v>
      </c>
      <c r="AU5" s="1122"/>
      <c r="AV5" s="1092"/>
      <c r="AW5" s="1092"/>
      <c r="AX5" s="1121">
        <v>0.1</v>
      </c>
      <c r="AY5" s="1122"/>
      <c r="AZ5" s="1092"/>
      <c r="BA5" s="1092"/>
      <c r="BB5" s="1121">
        <v>0.1</v>
      </c>
      <c r="BC5" s="1123"/>
      <c r="BD5" s="284">
        <f>H5+L5+P5+T5+X5+AB5+AF5+AJ5+AN5+AR5+AV5+AZ5</f>
        <v>0</v>
      </c>
      <c r="BE5" s="285">
        <f>J5+N5+R5+V5+Z5+AD5+AH5+AL5+AP5+AT5+AX5+BB5</f>
        <v>0.99999999999999989</v>
      </c>
      <c r="BF5" s="286">
        <f>BD5/BE5</f>
        <v>0</v>
      </c>
      <c r="BG5" s="287">
        <f>F5*BF5</f>
        <v>0</v>
      </c>
      <c r="BH5" s="287">
        <f>F5</f>
        <v>0.1</v>
      </c>
      <c r="BI5" s="288">
        <f>((J5+N5+R5)/BE5)*BH5</f>
        <v>1.0000000000000002E-2</v>
      </c>
    </row>
    <row r="6" spans="1:61" ht="35.1" customHeight="1" x14ac:dyDescent="0.2">
      <c r="A6" s="1102"/>
      <c r="B6" s="1104"/>
      <c r="C6" s="8" t="s">
        <v>155</v>
      </c>
      <c r="D6" s="78" t="s">
        <v>156</v>
      </c>
      <c r="E6" s="77" t="s">
        <v>157</v>
      </c>
      <c r="F6" s="79">
        <v>0.1</v>
      </c>
      <c r="G6" s="80">
        <v>1.2</v>
      </c>
      <c r="H6" s="1106"/>
      <c r="I6" s="1106"/>
      <c r="J6" s="1095"/>
      <c r="K6" s="1095"/>
      <c r="L6" s="1107">
        <v>1</v>
      </c>
      <c r="M6" s="1107"/>
      <c r="N6" s="1101">
        <v>1</v>
      </c>
      <c r="O6" s="1101"/>
      <c r="P6" s="1118">
        <v>2</v>
      </c>
      <c r="Q6" s="1118"/>
      <c r="R6" s="1101">
        <v>1</v>
      </c>
      <c r="S6" s="1101"/>
      <c r="T6" s="1095"/>
      <c r="U6" s="1095"/>
      <c r="V6" s="1101">
        <v>1</v>
      </c>
      <c r="W6" s="1101"/>
      <c r="X6" s="1095"/>
      <c r="Y6" s="1095"/>
      <c r="Z6" s="1101">
        <v>1</v>
      </c>
      <c r="AA6" s="1101"/>
      <c r="AB6" s="1095"/>
      <c r="AC6" s="1095"/>
      <c r="AD6" s="1101">
        <v>1</v>
      </c>
      <c r="AE6" s="1101"/>
      <c r="AF6" s="1095"/>
      <c r="AG6" s="1095"/>
      <c r="AH6" s="1101">
        <v>1</v>
      </c>
      <c r="AI6" s="1101"/>
      <c r="AJ6" s="1095"/>
      <c r="AK6" s="1095"/>
      <c r="AL6" s="1101">
        <v>1</v>
      </c>
      <c r="AM6" s="1101"/>
      <c r="AN6" s="1095"/>
      <c r="AO6" s="1095"/>
      <c r="AP6" s="1101">
        <v>1</v>
      </c>
      <c r="AQ6" s="1101"/>
      <c r="AR6" s="1095"/>
      <c r="AS6" s="1095"/>
      <c r="AT6" s="1101">
        <v>1</v>
      </c>
      <c r="AU6" s="1101"/>
      <c r="AV6" s="1095"/>
      <c r="AW6" s="1095"/>
      <c r="AX6" s="1101">
        <v>1</v>
      </c>
      <c r="AY6" s="1101"/>
      <c r="AZ6" s="1092"/>
      <c r="BA6" s="1092"/>
      <c r="BB6" s="1101">
        <v>1</v>
      </c>
      <c r="BC6" s="1113"/>
      <c r="BD6" s="289">
        <f t="shared" ref="BD6:BD14" si="0">H6+L6+P6+T6+X6+AB6+AF6+AJ6+AN6+AR6+AV6+AZ6</f>
        <v>3</v>
      </c>
      <c r="BE6" s="290">
        <f t="shared" ref="BE6:BE14" si="1">J6+N6+R6+V6+Z6+AD6+AH6+AL6+AP6+AT6+AX6+BB6</f>
        <v>11</v>
      </c>
      <c r="BF6" s="286">
        <f t="shared" ref="BF6:BF14" si="2">BD6/BE6</f>
        <v>0.27272727272727271</v>
      </c>
      <c r="BG6" s="287">
        <f t="shared" ref="BG6:BG14" si="3">F6*BF6</f>
        <v>2.7272727272727271E-2</v>
      </c>
      <c r="BH6" s="287">
        <f t="shared" ref="BH6:BH14" si="4">F6</f>
        <v>0.1</v>
      </c>
      <c r="BI6" s="288">
        <f t="shared" ref="BI6:BI14" si="5">((J6+N6+R6)/BE6)*BH6</f>
        <v>1.8181818181818184E-2</v>
      </c>
    </row>
    <row r="7" spans="1:61" ht="42.75" x14ac:dyDescent="0.2">
      <c r="A7" s="1102" t="s">
        <v>158</v>
      </c>
      <c r="B7" s="1104">
        <v>0.2</v>
      </c>
      <c r="C7" s="8" t="s">
        <v>159</v>
      </c>
      <c r="D7" s="78" t="s">
        <v>160</v>
      </c>
      <c r="E7" s="77" t="s">
        <v>161</v>
      </c>
      <c r="F7" s="79">
        <v>0.1</v>
      </c>
      <c r="G7" s="80">
        <v>2.1</v>
      </c>
      <c r="H7" s="1106"/>
      <c r="I7" s="1106"/>
      <c r="J7" s="1094"/>
      <c r="K7" s="1094"/>
      <c r="L7" s="1120"/>
      <c r="M7" s="1120"/>
      <c r="N7" s="1094"/>
      <c r="O7" s="1094"/>
      <c r="P7" s="1118">
        <v>1</v>
      </c>
      <c r="Q7" s="1118"/>
      <c r="R7" s="1094"/>
      <c r="S7" s="1094"/>
      <c r="T7" s="1095"/>
      <c r="U7" s="1095"/>
      <c r="V7" s="1124">
        <v>1</v>
      </c>
      <c r="W7" s="1124"/>
      <c r="X7" s="1095"/>
      <c r="Y7" s="1095"/>
      <c r="Z7" s="1094"/>
      <c r="AA7" s="1094"/>
      <c r="AB7" s="1095"/>
      <c r="AC7" s="1095"/>
      <c r="AD7" s="1094"/>
      <c r="AE7" s="1094"/>
      <c r="AF7" s="1095"/>
      <c r="AG7" s="1095"/>
      <c r="AH7" s="1094"/>
      <c r="AI7" s="1094"/>
      <c r="AJ7" s="1095"/>
      <c r="AK7" s="1095"/>
      <c r="AL7" s="1094"/>
      <c r="AM7" s="1094"/>
      <c r="AN7" s="1095"/>
      <c r="AO7" s="1095"/>
      <c r="AP7" s="1094"/>
      <c r="AQ7" s="1094"/>
      <c r="AR7" s="1095"/>
      <c r="AS7" s="1095"/>
      <c r="AT7" s="1094"/>
      <c r="AU7" s="1094"/>
      <c r="AV7" s="1095"/>
      <c r="AW7" s="1095"/>
      <c r="AX7" s="1095"/>
      <c r="AY7" s="1095"/>
      <c r="AZ7" s="1092"/>
      <c r="BA7" s="1092"/>
      <c r="BB7" s="1094"/>
      <c r="BC7" s="1119"/>
      <c r="BD7" s="289">
        <f t="shared" si="0"/>
        <v>1</v>
      </c>
      <c r="BE7" s="290">
        <f t="shared" si="1"/>
        <v>1</v>
      </c>
      <c r="BF7" s="286">
        <f t="shared" si="2"/>
        <v>1</v>
      </c>
      <c r="BG7" s="287">
        <f t="shared" si="3"/>
        <v>0.1</v>
      </c>
      <c r="BH7" s="287">
        <f t="shared" si="4"/>
        <v>0.1</v>
      </c>
      <c r="BI7" s="288">
        <f t="shared" si="5"/>
        <v>0</v>
      </c>
    </row>
    <row r="8" spans="1:61" ht="85.5" x14ac:dyDescent="0.2">
      <c r="A8" s="1102"/>
      <c r="B8" s="1104"/>
      <c r="C8" s="8" t="s">
        <v>162</v>
      </c>
      <c r="D8" s="78" t="s">
        <v>163</v>
      </c>
      <c r="E8" s="77" t="s">
        <v>164</v>
      </c>
      <c r="F8" s="79">
        <v>0.1</v>
      </c>
      <c r="G8" s="80">
        <v>2.2000000000000002</v>
      </c>
      <c r="H8" s="1115">
        <v>2</v>
      </c>
      <c r="I8" s="1115"/>
      <c r="J8" s="1101">
        <v>2</v>
      </c>
      <c r="K8" s="1101"/>
      <c r="L8" s="1107">
        <v>0</v>
      </c>
      <c r="M8" s="1107"/>
      <c r="N8" s="1101">
        <v>2</v>
      </c>
      <c r="O8" s="1101"/>
      <c r="P8" s="1118">
        <v>1</v>
      </c>
      <c r="Q8" s="1118"/>
      <c r="R8" s="1094"/>
      <c r="S8" s="1094"/>
      <c r="T8" s="1095"/>
      <c r="U8" s="1095"/>
      <c r="V8" s="1101">
        <v>1</v>
      </c>
      <c r="W8" s="1101"/>
      <c r="X8" s="1095"/>
      <c r="Y8" s="1095"/>
      <c r="Z8" s="1094"/>
      <c r="AA8" s="1094"/>
      <c r="AB8" s="1095"/>
      <c r="AC8" s="1095"/>
      <c r="AD8" s="1094"/>
      <c r="AE8" s="1094"/>
      <c r="AF8" s="1095"/>
      <c r="AG8" s="1095"/>
      <c r="AH8" s="1101">
        <v>2</v>
      </c>
      <c r="AI8" s="1101"/>
      <c r="AJ8" s="1095"/>
      <c r="AK8" s="1095"/>
      <c r="AL8" s="1094"/>
      <c r="AM8" s="1094"/>
      <c r="AN8" s="1095"/>
      <c r="AO8" s="1095"/>
      <c r="AP8" s="1094"/>
      <c r="AQ8" s="1094"/>
      <c r="AR8" s="1095"/>
      <c r="AS8" s="1095"/>
      <c r="AT8" s="1101">
        <v>1</v>
      </c>
      <c r="AU8" s="1101"/>
      <c r="AV8" s="1095"/>
      <c r="AW8" s="1095"/>
      <c r="AX8" s="1094"/>
      <c r="AY8" s="1094"/>
      <c r="AZ8" s="1092"/>
      <c r="BA8" s="1092"/>
      <c r="BB8" s="1094"/>
      <c r="BC8" s="1119"/>
      <c r="BD8" s="289">
        <f t="shared" si="0"/>
        <v>3</v>
      </c>
      <c r="BE8" s="290">
        <f t="shared" si="1"/>
        <v>8</v>
      </c>
      <c r="BF8" s="286">
        <f>BD8/BE8</f>
        <v>0.375</v>
      </c>
      <c r="BG8" s="287">
        <f t="shared" si="3"/>
        <v>3.7500000000000006E-2</v>
      </c>
      <c r="BH8" s="287">
        <v>0.1</v>
      </c>
      <c r="BI8" s="288">
        <f t="shared" si="5"/>
        <v>0.05</v>
      </c>
    </row>
    <row r="9" spans="1:61" ht="28.5" x14ac:dyDescent="0.2">
      <c r="A9" s="1102" t="s">
        <v>165</v>
      </c>
      <c r="B9" s="1104">
        <v>0.2</v>
      </c>
      <c r="C9" s="78" t="s">
        <v>166</v>
      </c>
      <c r="D9" s="78" t="s">
        <v>167</v>
      </c>
      <c r="E9" s="78" t="s">
        <v>168</v>
      </c>
      <c r="F9" s="79">
        <v>0.1</v>
      </c>
      <c r="G9" s="80">
        <v>3.1</v>
      </c>
      <c r="H9" s="1106"/>
      <c r="I9" s="1106"/>
      <c r="J9" s="1101">
        <v>1</v>
      </c>
      <c r="K9" s="1101"/>
      <c r="L9" s="1120"/>
      <c r="M9" s="1120"/>
      <c r="N9" s="1095"/>
      <c r="O9" s="1095"/>
      <c r="P9" s="1095"/>
      <c r="Q9" s="1095"/>
      <c r="R9" s="1094"/>
      <c r="S9" s="1094"/>
      <c r="T9" s="1095"/>
      <c r="U9" s="1095"/>
      <c r="V9" s="1101">
        <v>1</v>
      </c>
      <c r="W9" s="1101"/>
      <c r="X9" s="1095"/>
      <c r="Y9" s="1095"/>
      <c r="Z9" s="1095"/>
      <c r="AA9" s="1095"/>
      <c r="AB9" s="1095"/>
      <c r="AC9" s="1095"/>
      <c r="AD9" s="1094"/>
      <c r="AE9" s="1094"/>
      <c r="AF9" s="1095"/>
      <c r="AG9" s="1095"/>
      <c r="AH9" s="1101">
        <v>1</v>
      </c>
      <c r="AI9" s="1101"/>
      <c r="AJ9" s="1095"/>
      <c r="AK9" s="1095"/>
      <c r="AL9" s="1094"/>
      <c r="AM9" s="1094"/>
      <c r="AN9" s="1095"/>
      <c r="AO9" s="1095"/>
      <c r="AP9" s="1094"/>
      <c r="AQ9" s="1094"/>
      <c r="AR9" s="1095"/>
      <c r="AS9" s="1095"/>
      <c r="AT9" s="1101">
        <v>1</v>
      </c>
      <c r="AU9" s="1101"/>
      <c r="AV9" s="1095"/>
      <c r="AW9" s="1095"/>
      <c r="AX9" s="1094"/>
      <c r="AY9" s="1094"/>
      <c r="AZ9" s="1092"/>
      <c r="BA9" s="1092"/>
      <c r="BB9" s="1094"/>
      <c r="BC9" s="1119"/>
      <c r="BD9" s="289">
        <f t="shared" si="0"/>
        <v>0</v>
      </c>
      <c r="BE9" s="290">
        <f t="shared" si="1"/>
        <v>4</v>
      </c>
      <c r="BF9" s="286">
        <f t="shared" si="2"/>
        <v>0</v>
      </c>
      <c r="BG9" s="287">
        <f t="shared" si="3"/>
        <v>0</v>
      </c>
      <c r="BH9" s="287">
        <f t="shared" si="4"/>
        <v>0.1</v>
      </c>
      <c r="BI9" s="288">
        <f t="shared" si="5"/>
        <v>2.5000000000000001E-2</v>
      </c>
    </row>
    <row r="10" spans="1:61" ht="28.5" x14ac:dyDescent="0.2">
      <c r="A10" s="1102"/>
      <c r="B10" s="1104"/>
      <c r="C10" s="78" t="s">
        <v>169</v>
      </c>
      <c r="D10" s="78" t="s">
        <v>170</v>
      </c>
      <c r="E10" s="78" t="s">
        <v>171</v>
      </c>
      <c r="F10" s="79">
        <v>0.1</v>
      </c>
      <c r="G10" s="80">
        <v>3.2</v>
      </c>
      <c r="H10" s="1106"/>
      <c r="I10" s="1106"/>
      <c r="J10" s="1101">
        <v>1</v>
      </c>
      <c r="K10" s="1101"/>
      <c r="L10" s="1120"/>
      <c r="M10" s="1120"/>
      <c r="N10" s="1095"/>
      <c r="O10" s="1095"/>
      <c r="P10" s="1095"/>
      <c r="Q10" s="1095"/>
      <c r="R10" s="1095"/>
      <c r="S10" s="1095"/>
      <c r="T10" s="1095"/>
      <c r="U10" s="1095"/>
      <c r="V10" s="1095"/>
      <c r="W10" s="1095"/>
      <c r="X10" s="1095"/>
      <c r="Y10" s="1095"/>
      <c r="Z10" s="1101">
        <v>1</v>
      </c>
      <c r="AA10" s="1101"/>
      <c r="AB10" s="1095"/>
      <c r="AC10" s="1095"/>
      <c r="AD10" s="1095"/>
      <c r="AE10" s="1095"/>
      <c r="AF10" s="1095"/>
      <c r="AG10" s="1095"/>
      <c r="AH10" s="1095"/>
      <c r="AI10" s="1095"/>
      <c r="AJ10" s="1095"/>
      <c r="AK10" s="1095"/>
      <c r="AL10" s="1095"/>
      <c r="AM10" s="1095"/>
      <c r="AN10" s="1095"/>
      <c r="AO10" s="1095"/>
      <c r="AP10" s="1101">
        <v>1</v>
      </c>
      <c r="AQ10" s="1101"/>
      <c r="AR10" s="1095"/>
      <c r="AS10" s="1095"/>
      <c r="AT10" s="1095"/>
      <c r="AU10" s="1095"/>
      <c r="AV10" s="1095"/>
      <c r="AW10" s="1095"/>
      <c r="AX10" s="1095"/>
      <c r="AY10" s="1095"/>
      <c r="AZ10" s="1092"/>
      <c r="BA10" s="1092"/>
      <c r="BB10" s="1095"/>
      <c r="BC10" s="1096"/>
      <c r="BD10" s="289">
        <f t="shared" si="0"/>
        <v>0</v>
      </c>
      <c r="BE10" s="290">
        <f t="shared" si="1"/>
        <v>3</v>
      </c>
      <c r="BF10" s="286">
        <f t="shared" si="2"/>
        <v>0</v>
      </c>
      <c r="BG10" s="287">
        <f t="shared" si="3"/>
        <v>0</v>
      </c>
      <c r="BH10" s="287">
        <f t="shared" si="4"/>
        <v>0.1</v>
      </c>
      <c r="BI10" s="288">
        <f t="shared" si="5"/>
        <v>3.3333333333333333E-2</v>
      </c>
    </row>
    <row r="11" spans="1:61" ht="57" x14ac:dyDescent="0.2">
      <c r="A11" s="1102" t="s">
        <v>172</v>
      </c>
      <c r="B11" s="1104">
        <v>0.3</v>
      </c>
      <c r="C11" s="78" t="s">
        <v>173</v>
      </c>
      <c r="D11" s="78" t="s">
        <v>174</v>
      </c>
      <c r="E11" s="81" t="s">
        <v>175</v>
      </c>
      <c r="F11" s="79">
        <v>0.15</v>
      </c>
      <c r="G11" s="80">
        <v>4.0999999999999996</v>
      </c>
      <c r="H11" s="1106"/>
      <c r="I11" s="1106"/>
      <c r="J11" s="1094"/>
      <c r="K11" s="1094"/>
      <c r="L11" s="1120"/>
      <c r="M11" s="1120"/>
      <c r="N11" s="1094"/>
      <c r="O11" s="1094"/>
      <c r="P11" s="1095"/>
      <c r="Q11" s="1095"/>
      <c r="R11" s="1112">
        <v>0.1</v>
      </c>
      <c r="S11" s="1101"/>
      <c r="T11" s="1095"/>
      <c r="U11" s="1095"/>
      <c r="V11" s="1112">
        <v>0.1</v>
      </c>
      <c r="W11" s="1101"/>
      <c r="X11" s="1095"/>
      <c r="Y11" s="1095"/>
      <c r="Z11" s="1112">
        <v>0.1</v>
      </c>
      <c r="AA11" s="1101"/>
      <c r="AB11" s="1095"/>
      <c r="AC11" s="1095"/>
      <c r="AD11" s="1112">
        <v>0.1</v>
      </c>
      <c r="AE11" s="1101"/>
      <c r="AF11" s="1095"/>
      <c r="AG11" s="1095"/>
      <c r="AH11" s="1112">
        <v>0.1</v>
      </c>
      <c r="AI11" s="1101"/>
      <c r="AJ11" s="1095"/>
      <c r="AK11" s="1095"/>
      <c r="AL11" s="1112">
        <v>0.1</v>
      </c>
      <c r="AM11" s="1101"/>
      <c r="AN11" s="1095"/>
      <c r="AO11" s="1095"/>
      <c r="AP11" s="1112">
        <v>0.1</v>
      </c>
      <c r="AQ11" s="1101"/>
      <c r="AR11" s="1095"/>
      <c r="AS11" s="1095"/>
      <c r="AT11" s="1112">
        <v>0.1</v>
      </c>
      <c r="AU11" s="1101"/>
      <c r="AV11" s="1095"/>
      <c r="AW11" s="1095"/>
      <c r="AX11" s="1112">
        <v>0.1</v>
      </c>
      <c r="AY11" s="1101"/>
      <c r="AZ11" s="1092"/>
      <c r="BA11" s="1092"/>
      <c r="BB11" s="1112">
        <v>0.1</v>
      </c>
      <c r="BC11" s="1113"/>
      <c r="BD11" s="289">
        <f t="shared" si="0"/>
        <v>0</v>
      </c>
      <c r="BE11" s="285">
        <f t="shared" si="1"/>
        <v>0.99999999999999989</v>
      </c>
      <c r="BF11" s="286">
        <f t="shared" si="2"/>
        <v>0</v>
      </c>
      <c r="BG11" s="287">
        <f t="shared" si="3"/>
        <v>0</v>
      </c>
      <c r="BH11" s="287">
        <f t="shared" si="4"/>
        <v>0.15</v>
      </c>
      <c r="BI11" s="288">
        <f t="shared" si="5"/>
        <v>1.5000000000000003E-2</v>
      </c>
    </row>
    <row r="12" spans="1:61" ht="57" x14ac:dyDescent="0.2">
      <c r="A12" s="1102"/>
      <c r="B12" s="1104"/>
      <c r="C12" s="78" t="s">
        <v>176</v>
      </c>
      <c r="D12" s="78" t="s">
        <v>177</v>
      </c>
      <c r="E12" s="81" t="s">
        <v>178</v>
      </c>
      <c r="F12" s="79">
        <v>0.15</v>
      </c>
      <c r="G12" s="80">
        <v>4.2</v>
      </c>
      <c r="H12" s="1114">
        <v>8.3299999999999999E-2</v>
      </c>
      <c r="I12" s="1115"/>
      <c r="J12" s="1097">
        <v>8.3333299999999999E-2</v>
      </c>
      <c r="K12" s="1097"/>
      <c r="L12" s="1116">
        <v>8.3299999999999999E-2</v>
      </c>
      <c r="M12" s="1107"/>
      <c r="N12" s="1097">
        <v>8.3333299999999999E-2</v>
      </c>
      <c r="O12" s="1097"/>
      <c r="P12" s="1117">
        <v>8.3299999999999999E-2</v>
      </c>
      <c r="Q12" s="1118"/>
      <c r="R12" s="1097">
        <v>8.3333299999999999E-2</v>
      </c>
      <c r="S12" s="1097"/>
      <c r="T12" s="1095"/>
      <c r="U12" s="1095"/>
      <c r="V12" s="1097">
        <v>8.3333299999999999E-2</v>
      </c>
      <c r="W12" s="1097"/>
      <c r="X12" s="1095"/>
      <c r="Y12" s="1095"/>
      <c r="Z12" s="1097">
        <v>8.3333299999999999E-2</v>
      </c>
      <c r="AA12" s="1097"/>
      <c r="AB12" s="1095"/>
      <c r="AC12" s="1095"/>
      <c r="AD12" s="1097">
        <v>8.3333299999999999E-2</v>
      </c>
      <c r="AE12" s="1097"/>
      <c r="AF12" s="1095"/>
      <c r="AG12" s="1095"/>
      <c r="AH12" s="1097">
        <v>8.3333299999999999E-2</v>
      </c>
      <c r="AI12" s="1097"/>
      <c r="AJ12" s="1095"/>
      <c r="AK12" s="1095"/>
      <c r="AL12" s="1097">
        <v>8.3333299999999999E-2</v>
      </c>
      <c r="AM12" s="1097"/>
      <c r="AN12" s="1095"/>
      <c r="AO12" s="1095"/>
      <c r="AP12" s="1097">
        <v>8.3333299999999999E-2</v>
      </c>
      <c r="AQ12" s="1097"/>
      <c r="AR12" s="1095"/>
      <c r="AS12" s="1095"/>
      <c r="AT12" s="1097">
        <v>8.3333299999999999E-2</v>
      </c>
      <c r="AU12" s="1097"/>
      <c r="AV12" s="1095"/>
      <c r="AW12" s="1095"/>
      <c r="AX12" s="1097">
        <v>8.3333299999999999E-2</v>
      </c>
      <c r="AY12" s="1097"/>
      <c r="AZ12" s="1092"/>
      <c r="BA12" s="1092"/>
      <c r="BB12" s="1097">
        <v>8.3333299999999999E-2</v>
      </c>
      <c r="BC12" s="1098"/>
      <c r="BD12" s="284">
        <f t="shared" si="0"/>
        <v>0.24990000000000001</v>
      </c>
      <c r="BE12" s="285">
        <f t="shared" si="1"/>
        <v>0.99999960000000021</v>
      </c>
      <c r="BF12" s="286">
        <f t="shared" si="2"/>
        <v>0.24990009996003995</v>
      </c>
      <c r="BG12" s="287">
        <f t="shared" si="3"/>
        <v>3.7485014994005993E-2</v>
      </c>
      <c r="BH12" s="287">
        <f t="shared" si="4"/>
        <v>0.15</v>
      </c>
      <c r="BI12" s="288">
        <f t="shared" si="5"/>
        <v>3.7499999999999992E-2</v>
      </c>
    </row>
    <row r="13" spans="1:61" ht="71.25" x14ac:dyDescent="0.2">
      <c r="A13" s="1102" t="s">
        <v>179</v>
      </c>
      <c r="B13" s="1104">
        <v>0.1</v>
      </c>
      <c r="C13" s="8" t="s">
        <v>180</v>
      </c>
      <c r="D13" s="78" t="s">
        <v>181</v>
      </c>
      <c r="E13" s="77" t="s">
        <v>182</v>
      </c>
      <c r="F13" s="79">
        <v>0.05</v>
      </c>
      <c r="G13" s="80">
        <v>5.0999999999999996</v>
      </c>
      <c r="H13" s="1106"/>
      <c r="I13" s="1106"/>
      <c r="J13" s="1095"/>
      <c r="K13" s="1095"/>
      <c r="L13" s="1107">
        <v>1</v>
      </c>
      <c r="M13" s="1107"/>
      <c r="N13" s="1101">
        <v>1</v>
      </c>
      <c r="O13" s="1101"/>
      <c r="P13" s="1095"/>
      <c r="Q13" s="1095"/>
      <c r="R13" s="1094"/>
      <c r="S13" s="1094"/>
      <c r="T13" s="1095"/>
      <c r="U13" s="1095"/>
      <c r="V13" s="1094"/>
      <c r="W13" s="1094"/>
      <c r="X13" s="1095"/>
      <c r="Y13" s="1095"/>
      <c r="Z13" s="1094"/>
      <c r="AA13" s="1094"/>
      <c r="AB13" s="1095"/>
      <c r="AC13" s="1095"/>
      <c r="AD13" s="1094"/>
      <c r="AE13" s="1094"/>
      <c r="AF13" s="1095"/>
      <c r="AG13" s="1095"/>
      <c r="AH13" s="1094"/>
      <c r="AI13" s="1094"/>
      <c r="AJ13" s="1095"/>
      <c r="AK13" s="1095"/>
      <c r="AL13" s="1101">
        <v>1</v>
      </c>
      <c r="AM13" s="1101"/>
      <c r="AN13" s="1095"/>
      <c r="AO13" s="1095"/>
      <c r="AP13" s="1094"/>
      <c r="AQ13" s="1094"/>
      <c r="AR13" s="1095"/>
      <c r="AS13" s="1095"/>
      <c r="AT13" s="1094"/>
      <c r="AU13" s="1094"/>
      <c r="AV13" s="1095"/>
      <c r="AW13" s="1095"/>
      <c r="AX13" s="1094"/>
      <c r="AY13" s="1094"/>
      <c r="AZ13" s="1092"/>
      <c r="BA13" s="1092"/>
      <c r="BB13" s="1095"/>
      <c r="BC13" s="1096"/>
      <c r="BD13" s="289">
        <f t="shared" si="0"/>
        <v>1</v>
      </c>
      <c r="BE13" s="290">
        <f t="shared" si="1"/>
        <v>2</v>
      </c>
      <c r="BF13" s="286">
        <f t="shared" si="2"/>
        <v>0.5</v>
      </c>
      <c r="BG13" s="287">
        <f t="shared" si="3"/>
        <v>2.5000000000000001E-2</v>
      </c>
      <c r="BH13" s="287">
        <f t="shared" si="4"/>
        <v>0.05</v>
      </c>
      <c r="BI13" s="288">
        <f t="shared" si="5"/>
        <v>2.5000000000000001E-2</v>
      </c>
    </row>
    <row r="14" spans="1:61" ht="86.25" thickBot="1" x14ac:dyDescent="0.25">
      <c r="A14" s="1103"/>
      <c r="B14" s="1105"/>
      <c r="C14" s="291" t="s">
        <v>183</v>
      </c>
      <c r="D14" s="82" t="s">
        <v>184</v>
      </c>
      <c r="E14" s="83" t="s">
        <v>185</v>
      </c>
      <c r="F14" s="84">
        <v>0.05</v>
      </c>
      <c r="G14" s="85">
        <v>5.2</v>
      </c>
      <c r="H14" s="1108">
        <v>8.3299999999999999E-2</v>
      </c>
      <c r="I14" s="1109"/>
      <c r="J14" s="1084">
        <v>8.3333299999999999E-2</v>
      </c>
      <c r="K14" s="1084"/>
      <c r="L14" s="1110">
        <v>8.3299999999999999E-2</v>
      </c>
      <c r="M14" s="1111"/>
      <c r="N14" s="1084">
        <v>8.3333299999999999E-2</v>
      </c>
      <c r="O14" s="1084"/>
      <c r="P14" s="1099">
        <v>8.3299999999999999E-2</v>
      </c>
      <c r="Q14" s="1100"/>
      <c r="R14" s="1084">
        <v>8.3333299999999999E-2</v>
      </c>
      <c r="S14" s="1084"/>
      <c r="T14" s="1083"/>
      <c r="U14" s="1083"/>
      <c r="V14" s="1084">
        <v>8.3333299999999999E-2</v>
      </c>
      <c r="W14" s="1084"/>
      <c r="X14" s="1083"/>
      <c r="Y14" s="1083"/>
      <c r="Z14" s="1084">
        <v>8.3333299999999999E-2</v>
      </c>
      <c r="AA14" s="1084"/>
      <c r="AB14" s="1083"/>
      <c r="AC14" s="1083"/>
      <c r="AD14" s="1084">
        <v>8.3333299999999999E-2</v>
      </c>
      <c r="AE14" s="1084"/>
      <c r="AF14" s="1083"/>
      <c r="AG14" s="1083"/>
      <c r="AH14" s="1084">
        <v>8.3333299999999999E-2</v>
      </c>
      <c r="AI14" s="1084"/>
      <c r="AJ14" s="1083"/>
      <c r="AK14" s="1083"/>
      <c r="AL14" s="1084">
        <v>8.3333299999999999E-2</v>
      </c>
      <c r="AM14" s="1084"/>
      <c r="AN14" s="1083"/>
      <c r="AO14" s="1083"/>
      <c r="AP14" s="1084">
        <v>8.3333299999999999E-2</v>
      </c>
      <c r="AQ14" s="1084"/>
      <c r="AR14" s="1083"/>
      <c r="AS14" s="1083"/>
      <c r="AT14" s="1084">
        <v>8.3333299999999999E-2</v>
      </c>
      <c r="AU14" s="1084"/>
      <c r="AV14" s="1083"/>
      <c r="AW14" s="1083"/>
      <c r="AX14" s="1084">
        <v>8.3333299999999999E-2</v>
      </c>
      <c r="AY14" s="1084"/>
      <c r="AZ14" s="1092"/>
      <c r="BA14" s="1092"/>
      <c r="BB14" s="1084">
        <v>8.3333299999999999E-2</v>
      </c>
      <c r="BC14" s="1093"/>
      <c r="BD14" s="284">
        <f t="shared" si="0"/>
        <v>0.24990000000000001</v>
      </c>
      <c r="BE14" s="285">
        <f t="shared" si="1"/>
        <v>0.99999960000000021</v>
      </c>
      <c r="BF14" s="286">
        <f t="shared" si="2"/>
        <v>0.24990009996003995</v>
      </c>
      <c r="BG14" s="287">
        <f t="shared" si="3"/>
        <v>1.2495004998001998E-2</v>
      </c>
      <c r="BH14" s="287">
        <f t="shared" si="4"/>
        <v>0.05</v>
      </c>
      <c r="BI14" s="288">
        <f t="shared" si="5"/>
        <v>1.2499999999999997E-2</v>
      </c>
    </row>
    <row r="15" spans="1:61" ht="35.25" customHeight="1" x14ac:dyDescent="0.2">
      <c r="BG15" s="292">
        <f>SUM(BG5:BG14)</f>
        <v>0.23975274726473528</v>
      </c>
      <c r="BI15" s="293">
        <f>SUM(BI5:BI14)</f>
        <v>0.2265151515151515</v>
      </c>
    </row>
    <row r="23" spans="3:5" x14ac:dyDescent="0.2">
      <c r="C23" s="876" t="s">
        <v>71</v>
      </c>
      <c r="D23" s="877" t="s">
        <v>73</v>
      </c>
      <c r="E23" s="877" t="s">
        <v>72</v>
      </c>
    </row>
    <row r="24" spans="3:5" ht="33" customHeight="1" x14ac:dyDescent="0.2">
      <c r="C24" s="25" t="str">
        <f>A5</f>
        <v>1. Implementar Rol de enfoque hacia la prevención</v>
      </c>
      <c r="D24" s="86">
        <f>B5</f>
        <v>0.2</v>
      </c>
      <c r="E24" s="26">
        <f>BG5+BG6</f>
        <v>2.7272727272727271E-2</v>
      </c>
    </row>
    <row r="25" spans="3:5" ht="33" customHeight="1" x14ac:dyDescent="0.2">
      <c r="C25" s="25" t="str">
        <f>A7</f>
        <v>2. Implementar Rol de Relación con Entes Externos de Control</v>
      </c>
      <c r="D25" s="86">
        <f>B7</f>
        <v>0.2</v>
      </c>
      <c r="E25" s="26">
        <f>BG7+BG8</f>
        <v>0.13750000000000001</v>
      </c>
    </row>
    <row r="26" spans="3:5" ht="33" customHeight="1" x14ac:dyDescent="0.2">
      <c r="C26" s="25" t="str">
        <f>A9</f>
        <v>3. Implementar Rol de Evaluación de la Gestión del Riesgo</v>
      </c>
      <c r="D26" s="86">
        <f>B9</f>
        <v>0.2</v>
      </c>
      <c r="E26" s="26">
        <f>BG9+BG10</f>
        <v>0</v>
      </c>
    </row>
    <row r="27" spans="3:5" ht="33" customHeight="1" x14ac:dyDescent="0.2">
      <c r="C27" s="25" t="str">
        <f>A11</f>
        <v>4. Implementar Rol de Evaluación y Seguimiento</v>
      </c>
      <c r="D27" s="86">
        <f>B11</f>
        <v>0.3</v>
      </c>
      <c r="E27" s="26">
        <f>BG11+BG12</f>
        <v>3.7485014994005993E-2</v>
      </c>
    </row>
    <row r="28" spans="3:5" ht="33" customHeight="1" x14ac:dyDescent="0.2">
      <c r="C28" s="25" t="str">
        <f>A13</f>
        <v>5. Implementar Rol de liderazgo Estratégico</v>
      </c>
      <c r="D28" s="86">
        <f>B13</f>
        <v>0.1</v>
      </c>
      <c r="E28" s="26">
        <f>BG13+BG14</f>
        <v>3.7495004998001999E-2</v>
      </c>
    </row>
    <row r="29" spans="3:5" x14ac:dyDescent="0.2">
      <c r="C29" s="878" t="s">
        <v>66</v>
      </c>
      <c r="D29" s="879">
        <f>SUM(D24:D28)</f>
        <v>1.0000000000000002</v>
      </c>
      <c r="E29" s="879">
        <f>SUM(E24:E28)</f>
        <v>0.23975274726473528</v>
      </c>
    </row>
    <row r="37" spans="3:5" x14ac:dyDescent="0.2">
      <c r="C37" s="876" t="s">
        <v>71</v>
      </c>
      <c r="D37" s="877" t="s">
        <v>73</v>
      </c>
      <c r="E37" s="877" t="s">
        <v>72</v>
      </c>
    </row>
    <row r="38" spans="3:5" ht="29.25" customHeight="1" x14ac:dyDescent="0.2">
      <c r="C38" s="25" t="str">
        <f>C24</f>
        <v>1. Implementar Rol de enfoque hacia la prevención</v>
      </c>
      <c r="D38" s="86">
        <f>BI5+BI6</f>
        <v>2.8181818181818186E-2</v>
      </c>
      <c r="E38" s="86">
        <f>E24</f>
        <v>2.7272727272727271E-2</v>
      </c>
    </row>
    <row r="39" spans="3:5" ht="25.5" x14ac:dyDescent="0.2">
      <c r="C39" s="25" t="str">
        <f t="shared" ref="C39:C42" si="6">C25</f>
        <v>2. Implementar Rol de Relación con Entes Externos de Control</v>
      </c>
      <c r="D39" s="86">
        <f>BI7+BI8</f>
        <v>0.05</v>
      </c>
      <c r="E39" s="86">
        <f t="shared" ref="E39" si="7">E25</f>
        <v>0.13750000000000001</v>
      </c>
    </row>
    <row r="40" spans="3:5" ht="25.5" x14ac:dyDescent="0.2">
      <c r="C40" s="25" t="str">
        <f t="shared" si="6"/>
        <v>3. Implementar Rol de Evaluación de la Gestión del Riesgo</v>
      </c>
      <c r="D40" s="86">
        <f>BI9+BI10</f>
        <v>5.8333333333333334E-2</v>
      </c>
      <c r="E40" s="86">
        <f t="shared" ref="E40" si="8">E26</f>
        <v>0</v>
      </c>
    </row>
    <row r="41" spans="3:5" ht="25.5" x14ac:dyDescent="0.2">
      <c r="C41" s="25" t="str">
        <f t="shared" si="6"/>
        <v>4. Implementar Rol de Evaluación y Seguimiento</v>
      </c>
      <c r="D41" s="86">
        <f>BI11+BI12</f>
        <v>5.2499999999999991E-2</v>
      </c>
      <c r="E41" s="86">
        <f t="shared" ref="E41" si="9">E27</f>
        <v>3.7485014994005993E-2</v>
      </c>
    </row>
    <row r="42" spans="3:5" ht="25.5" x14ac:dyDescent="0.2">
      <c r="C42" s="25" t="str">
        <f t="shared" si="6"/>
        <v>5. Implementar Rol de liderazgo Estratégico</v>
      </c>
      <c r="D42" s="86">
        <f>BI13+BI14</f>
        <v>3.7499999999999999E-2</v>
      </c>
      <c r="E42" s="86">
        <f t="shared" ref="E42" si="10">E28</f>
        <v>3.7495004998001999E-2</v>
      </c>
    </row>
    <row r="43" spans="3:5" x14ac:dyDescent="0.2">
      <c r="C43" s="878" t="s">
        <v>66</v>
      </c>
      <c r="D43" s="879">
        <f>SUM(D38:D42)</f>
        <v>0.22651515151515153</v>
      </c>
      <c r="E43" s="879">
        <f>SUM(E38:E42)</f>
        <v>0.23975274726473528</v>
      </c>
    </row>
  </sheetData>
  <mergeCells count="298">
    <mergeCell ref="AV4:AW4"/>
    <mergeCell ref="AX4:AY4"/>
    <mergeCell ref="E3:E4"/>
    <mergeCell ref="F3:F4"/>
    <mergeCell ref="A3:A4"/>
    <mergeCell ref="H6:I6"/>
    <mergeCell ref="J6:K6"/>
    <mergeCell ref="B3:B4"/>
    <mergeCell ref="C3:C4"/>
    <mergeCell ref="AV3:AY3"/>
    <mergeCell ref="AF6:AG6"/>
    <mergeCell ref="AH6:AI6"/>
    <mergeCell ref="AJ6:AK6"/>
    <mergeCell ref="AL6:AM6"/>
    <mergeCell ref="AN6:AO6"/>
    <mergeCell ref="A5:A6"/>
    <mergeCell ref="B5:B6"/>
    <mergeCell ref="H5:I5"/>
    <mergeCell ref="X4:Y4"/>
    <mergeCell ref="Z4:AA4"/>
    <mergeCell ref="AB4:AC4"/>
    <mergeCell ref="AD4:AE4"/>
    <mergeCell ref="AF4:AG4"/>
    <mergeCell ref="AH4:AI4"/>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AZ4:BA4"/>
    <mergeCell ref="BB4:BC4"/>
    <mergeCell ref="AJ4:AK4"/>
    <mergeCell ref="AL4:AM4"/>
    <mergeCell ref="AN4:AO4"/>
    <mergeCell ref="AP4:AQ4"/>
    <mergeCell ref="AR4:AS4"/>
    <mergeCell ref="AT4:AU4"/>
    <mergeCell ref="G3:G4"/>
    <mergeCell ref="D3:D4"/>
    <mergeCell ref="AH5:AI5"/>
    <mergeCell ref="AJ5:AK5"/>
    <mergeCell ref="AL5:AM5"/>
    <mergeCell ref="AN5:AO5"/>
    <mergeCell ref="V5:W5"/>
    <mergeCell ref="X5:Y5"/>
    <mergeCell ref="Z5:AA5"/>
    <mergeCell ref="AB5:AC5"/>
    <mergeCell ref="AD5:AE5"/>
    <mergeCell ref="AF5:AG5"/>
    <mergeCell ref="P3:S3"/>
    <mergeCell ref="T3:W3"/>
    <mergeCell ref="V4:W4"/>
    <mergeCell ref="AD6:AE6"/>
    <mergeCell ref="J5:K5"/>
    <mergeCell ref="L5:M5"/>
    <mergeCell ref="N5:O5"/>
    <mergeCell ref="P5:Q5"/>
    <mergeCell ref="R5:S5"/>
    <mergeCell ref="T5:U5"/>
    <mergeCell ref="V6:W6"/>
    <mergeCell ref="X6:Y6"/>
    <mergeCell ref="Z6:AA6"/>
    <mergeCell ref="R6:S6"/>
    <mergeCell ref="T6:U6"/>
    <mergeCell ref="L6:M6"/>
    <mergeCell ref="N6:O6"/>
    <mergeCell ref="P6:Q6"/>
    <mergeCell ref="AB6:AC6"/>
    <mergeCell ref="AT7:AU7"/>
    <mergeCell ref="AV7:AW7"/>
    <mergeCell ref="AX7:AY7"/>
    <mergeCell ref="AZ7:BA7"/>
    <mergeCell ref="BB7:BC7"/>
    <mergeCell ref="AP7:AQ7"/>
    <mergeCell ref="AR7:AS7"/>
    <mergeCell ref="BB8:BC8"/>
    <mergeCell ref="A7:A8"/>
    <mergeCell ref="B7:B8"/>
    <mergeCell ref="H7:I7"/>
    <mergeCell ref="J7:K7"/>
    <mergeCell ref="L7:M7"/>
    <mergeCell ref="N7:O7"/>
    <mergeCell ref="P7:Q7"/>
    <mergeCell ref="R7:S7"/>
    <mergeCell ref="T7:U7"/>
    <mergeCell ref="AH7:AI7"/>
    <mergeCell ref="AJ7:AK7"/>
    <mergeCell ref="AL7:AM7"/>
    <mergeCell ref="AN7:AO7"/>
    <mergeCell ref="V7:W7"/>
    <mergeCell ref="X7:Y7"/>
    <mergeCell ref="Z7:AA7"/>
    <mergeCell ref="AT5:AU5"/>
    <mergeCell ref="AV5:AW5"/>
    <mergeCell ref="AX5:AY5"/>
    <mergeCell ref="AZ5:BA5"/>
    <mergeCell ref="BB5:BC5"/>
    <mergeCell ref="AP5:AQ5"/>
    <mergeCell ref="AR5:AS5"/>
    <mergeCell ref="BB6:BC6"/>
    <mergeCell ref="AP6:AQ6"/>
    <mergeCell ref="AR6:AS6"/>
    <mergeCell ref="AT6:AU6"/>
    <mergeCell ref="AV6:AW6"/>
    <mergeCell ref="AX6:AY6"/>
    <mergeCell ref="AZ6:BA6"/>
    <mergeCell ref="AB7:AC7"/>
    <mergeCell ref="AD7:AE7"/>
    <mergeCell ref="AF7:AG7"/>
    <mergeCell ref="AX8:AY8"/>
    <mergeCell ref="AZ8:BA8"/>
    <mergeCell ref="AD8:AE8"/>
    <mergeCell ref="R8:S8"/>
    <mergeCell ref="T8:U8"/>
    <mergeCell ref="A9:A10"/>
    <mergeCell ref="B9:B10"/>
    <mergeCell ref="H9:I9"/>
    <mergeCell ref="J9:K9"/>
    <mergeCell ref="L9:M9"/>
    <mergeCell ref="N9:O9"/>
    <mergeCell ref="P9:Q9"/>
    <mergeCell ref="R9:S9"/>
    <mergeCell ref="T9:U9"/>
    <mergeCell ref="H10:I10"/>
    <mergeCell ref="J10:K10"/>
    <mergeCell ref="L10:M10"/>
    <mergeCell ref="N10:O10"/>
    <mergeCell ref="P10:Q10"/>
    <mergeCell ref="AL8:AM8"/>
    <mergeCell ref="AN8:AO8"/>
    <mergeCell ref="Z8:AA8"/>
    <mergeCell ref="AB8:AC8"/>
    <mergeCell ref="AF8:AG8"/>
    <mergeCell ref="AH8:AI8"/>
    <mergeCell ref="AJ8:AK8"/>
    <mergeCell ref="AP8:AQ8"/>
    <mergeCell ref="AR8:AS8"/>
    <mergeCell ref="AT8:AU8"/>
    <mergeCell ref="AV8:AW8"/>
    <mergeCell ref="R10:S10"/>
    <mergeCell ref="T10:U10"/>
    <mergeCell ref="H8:I8"/>
    <mergeCell ref="J8:K8"/>
    <mergeCell ref="L8:M8"/>
    <mergeCell ref="N8:O8"/>
    <mergeCell ref="P8:Q8"/>
    <mergeCell ref="V8:W8"/>
    <mergeCell ref="X8:Y8"/>
    <mergeCell ref="AL9:AM9"/>
    <mergeCell ref="AN9:AO9"/>
    <mergeCell ref="V9:W9"/>
    <mergeCell ref="X9:Y9"/>
    <mergeCell ref="Z9:AA9"/>
    <mergeCell ref="AB9:AC9"/>
    <mergeCell ref="AD9:AE9"/>
    <mergeCell ref="AF9:AG9"/>
    <mergeCell ref="V10:W10"/>
    <mergeCell ref="X10:Y10"/>
    <mergeCell ref="Z10:AA10"/>
    <mergeCell ref="AB10:AC10"/>
    <mergeCell ref="AF10:AG10"/>
    <mergeCell ref="AH10:AI10"/>
    <mergeCell ref="AJ10:AK10"/>
    <mergeCell ref="AL10:AM10"/>
    <mergeCell ref="AN10:AO10"/>
    <mergeCell ref="AH9:AI9"/>
    <mergeCell ref="AJ9:AK9"/>
    <mergeCell ref="AT9:AU9"/>
    <mergeCell ref="AV9:AW9"/>
    <mergeCell ref="AX9:AY9"/>
    <mergeCell ref="AZ9:BA9"/>
    <mergeCell ref="BB9:BC9"/>
    <mergeCell ref="AP9:AQ9"/>
    <mergeCell ref="AR9:AS9"/>
    <mergeCell ref="BB10:BC10"/>
    <mergeCell ref="A11:A12"/>
    <mergeCell ref="B11:B12"/>
    <mergeCell ref="H11:I11"/>
    <mergeCell ref="J11:K11"/>
    <mergeCell ref="L11:M11"/>
    <mergeCell ref="N11:O11"/>
    <mergeCell ref="P11:Q11"/>
    <mergeCell ref="R11:S11"/>
    <mergeCell ref="T11:U11"/>
    <mergeCell ref="AP10:AQ10"/>
    <mergeCell ref="AR10:AS10"/>
    <mergeCell ref="AT10:AU10"/>
    <mergeCell ref="AV10:AW10"/>
    <mergeCell ref="AX10:AY10"/>
    <mergeCell ref="AZ10:BA10"/>
    <mergeCell ref="AD10:AE10"/>
    <mergeCell ref="BB11:BC11"/>
    <mergeCell ref="H12:I12"/>
    <mergeCell ref="J12:K12"/>
    <mergeCell ref="L12:M12"/>
    <mergeCell ref="N12:O12"/>
    <mergeCell ref="P12:Q12"/>
    <mergeCell ref="AH11:AI11"/>
    <mergeCell ref="AJ11:AK11"/>
    <mergeCell ref="AL11:AM11"/>
    <mergeCell ref="AN11:AO11"/>
    <mergeCell ref="AP11:AQ11"/>
    <mergeCell ref="AR11:AS11"/>
    <mergeCell ref="V11:W11"/>
    <mergeCell ref="X11:Y11"/>
    <mergeCell ref="Z11:AA11"/>
    <mergeCell ref="AB11:AC11"/>
    <mergeCell ref="AD11:AE11"/>
    <mergeCell ref="AF11:AG11"/>
    <mergeCell ref="AX12:AY12"/>
    <mergeCell ref="AZ12:BA12"/>
    <mergeCell ref="AT11:AU11"/>
    <mergeCell ref="AV11:AW11"/>
    <mergeCell ref="AX11:AY11"/>
    <mergeCell ref="AZ11:BA11"/>
    <mergeCell ref="A13:A14"/>
    <mergeCell ref="B13:B14"/>
    <mergeCell ref="H13:I13"/>
    <mergeCell ref="J13:K13"/>
    <mergeCell ref="L13:M13"/>
    <mergeCell ref="N13:O13"/>
    <mergeCell ref="P13:Q13"/>
    <mergeCell ref="R13:S13"/>
    <mergeCell ref="AP12:AQ12"/>
    <mergeCell ref="AD12:AE12"/>
    <mergeCell ref="AF12:AG12"/>
    <mergeCell ref="AH12:AI12"/>
    <mergeCell ref="AJ12:AK12"/>
    <mergeCell ref="AL12:AM12"/>
    <mergeCell ref="AN12:AO12"/>
    <mergeCell ref="R12:S12"/>
    <mergeCell ref="T12:U12"/>
    <mergeCell ref="V12:W12"/>
    <mergeCell ref="X12:Y12"/>
    <mergeCell ref="Z12:AA12"/>
    <mergeCell ref="AB12:AC12"/>
    <mergeCell ref="H14:I14"/>
    <mergeCell ref="J14:K14"/>
    <mergeCell ref="L14:M14"/>
    <mergeCell ref="N14:O14"/>
    <mergeCell ref="P14:Q14"/>
    <mergeCell ref="R14:S14"/>
    <mergeCell ref="AR13:AS13"/>
    <mergeCell ref="AT13:AU13"/>
    <mergeCell ref="AV13:AW13"/>
    <mergeCell ref="AF13:AG13"/>
    <mergeCell ref="AH13:AI13"/>
    <mergeCell ref="AJ13:AK13"/>
    <mergeCell ref="AL13:AM13"/>
    <mergeCell ref="AN13:AO13"/>
    <mergeCell ref="AP13:AQ13"/>
    <mergeCell ref="T13:U13"/>
    <mergeCell ref="V13:W13"/>
    <mergeCell ref="X13:Y13"/>
    <mergeCell ref="Z13:AA13"/>
    <mergeCell ref="AB13:AC13"/>
    <mergeCell ref="AD13:AE13"/>
    <mergeCell ref="AF14:AG14"/>
    <mergeCell ref="AH14:AI14"/>
    <mergeCell ref="AJ14:AK14"/>
    <mergeCell ref="AL14:AM14"/>
    <mergeCell ref="AN14:AO14"/>
    <mergeCell ref="AP14:AQ14"/>
    <mergeCell ref="T14:U14"/>
    <mergeCell ref="V14:W14"/>
    <mergeCell ref="X14:Y14"/>
    <mergeCell ref="Z14:AA14"/>
    <mergeCell ref="AB14:AC14"/>
    <mergeCell ref="AD14:AE14"/>
    <mergeCell ref="BF3:BF4"/>
    <mergeCell ref="BG3:BG4"/>
    <mergeCell ref="BH3:BH4"/>
    <mergeCell ref="BD3:BD4"/>
    <mergeCell ref="BE3:BE4"/>
    <mergeCell ref="AR14:AS14"/>
    <mergeCell ref="AT14:AU14"/>
    <mergeCell ref="AV14:AW14"/>
    <mergeCell ref="AX14:AY14"/>
    <mergeCell ref="AZ14:BA14"/>
    <mergeCell ref="BB14:BC14"/>
    <mergeCell ref="AX13:AY13"/>
    <mergeCell ref="AZ13:BA13"/>
    <mergeCell ref="BB13:BC13"/>
    <mergeCell ref="BB12:BC12"/>
    <mergeCell ref="AR12:AS12"/>
    <mergeCell ref="AT12:AU12"/>
    <mergeCell ref="AV12:AW12"/>
  </mergeCells>
  <conditionalFormatting sqref="BF5:BF14">
    <cfRule type="cellIs" dxfId="153" priority="1" operator="between">
      <formula>"0.5"</formula>
      <formula>1</formula>
    </cfRule>
  </conditionalFormatting>
  <printOptions horizontalCentered="1" verticalCentered="1"/>
  <pageMargins left="0.35433070866141736" right="0.23622047244094491" top="0.55118110236220474" bottom="0.55118110236220474" header="0.31496062992125984" footer="0.31496062992125984"/>
  <pageSetup paperSize="41" scale="50"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topLeftCell="G11" zoomScale="70" zoomScaleNormal="70" zoomScaleSheetLayoutView="100" workbookViewId="0">
      <selection activeCell="BF5" sqref="BF5:BF17"/>
    </sheetView>
  </sheetViews>
  <sheetFormatPr baseColWidth="10" defaultRowHeight="12.75" x14ac:dyDescent="0.2"/>
  <cols>
    <col min="1" max="1" width="54.5703125" style="27" customWidth="1"/>
    <col min="2" max="2" width="23" style="2" customWidth="1"/>
    <col min="3" max="3" width="56.7109375" style="27" customWidth="1"/>
    <col min="4" max="4" width="23.85546875" style="27" customWidth="1"/>
    <col min="5" max="5" width="33.7109375" style="27" customWidth="1"/>
    <col min="6" max="6" width="23.42578125" style="27" customWidth="1"/>
    <col min="7" max="7" width="13.85546875" style="27" customWidth="1"/>
    <col min="8" max="55" width="3.5703125" style="27" customWidth="1"/>
    <col min="56" max="57" width="8.28515625" style="27" customWidth="1"/>
    <col min="58" max="60" width="11.42578125" style="27" customWidth="1"/>
    <col min="61" max="16384" width="11.42578125" style="27"/>
  </cols>
  <sheetData>
    <row r="1" spans="1:61" ht="15" x14ac:dyDescent="0.2">
      <c r="H1" s="28"/>
    </row>
    <row r="2" spans="1:61" ht="15.75" thickBot="1" x14ac:dyDescent="0.25">
      <c r="H2" s="28"/>
    </row>
    <row r="3" spans="1:61" ht="48" customHeight="1" x14ac:dyDescent="0.2">
      <c r="A3" s="1208" t="s">
        <v>0</v>
      </c>
      <c r="B3" s="919" t="s">
        <v>1</v>
      </c>
      <c r="C3" s="1210" t="s">
        <v>2</v>
      </c>
      <c r="D3" s="1210" t="s">
        <v>3</v>
      </c>
      <c r="E3" s="1210" t="s">
        <v>4</v>
      </c>
      <c r="F3" s="1210" t="s">
        <v>5</v>
      </c>
      <c r="G3" s="1208" t="s">
        <v>6</v>
      </c>
      <c r="H3" s="1215" t="s">
        <v>7</v>
      </c>
      <c r="I3" s="1213"/>
      <c r="J3" s="1213"/>
      <c r="K3" s="1214"/>
      <c r="L3" s="1213" t="s">
        <v>8</v>
      </c>
      <c r="M3" s="1213"/>
      <c r="N3" s="1213"/>
      <c r="O3" s="1214"/>
      <c r="P3" s="1213" t="s">
        <v>9</v>
      </c>
      <c r="Q3" s="1213"/>
      <c r="R3" s="1213"/>
      <c r="S3" s="1214"/>
      <c r="T3" s="1213" t="s">
        <v>10</v>
      </c>
      <c r="U3" s="1213"/>
      <c r="V3" s="1213"/>
      <c r="W3" s="1214"/>
      <c r="X3" s="1213" t="s">
        <v>11</v>
      </c>
      <c r="Y3" s="1213"/>
      <c r="Z3" s="1213"/>
      <c r="AA3" s="1214"/>
      <c r="AB3" s="1213" t="s">
        <v>12</v>
      </c>
      <c r="AC3" s="1213"/>
      <c r="AD3" s="1213"/>
      <c r="AE3" s="1214"/>
      <c r="AF3" s="1213" t="s">
        <v>13</v>
      </c>
      <c r="AG3" s="1213"/>
      <c r="AH3" s="1213"/>
      <c r="AI3" s="1214"/>
      <c r="AJ3" s="1213" t="s">
        <v>14</v>
      </c>
      <c r="AK3" s="1213"/>
      <c r="AL3" s="1213"/>
      <c r="AM3" s="1214"/>
      <c r="AN3" s="1213" t="s">
        <v>15</v>
      </c>
      <c r="AO3" s="1213"/>
      <c r="AP3" s="1213"/>
      <c r="AQ3" s="1214"/>
      <c r="AR3" s="1213" t="s">
        <v>16</v>
      </c>
      <c r="AS3" s="1213"/>
      <c r="AT3" s="1213"/>
      <c r="AU3" s="1214"/>
      <c r="AV3" s="1213" t="s">
        <v>17</v>
      </c>
      <c r="AW3" s="1213"/>
      <c r="AX3" s="1213"/>
      <c r="AY3" s="1214"/>
      <c r="AZ3" s="1213" t="s">
        <v>18</v>
      </c>
      <c r="BA3" s="1213"/>
      <c r="BB3" s="1213"/>
      <c r="BC3" s="1214"/>
      <c r="BD3" s="1071" t="s">
        <v>66</v>
      </c>
      <c r="BE3" s="1073" t="s">
        <v>67</v>
      </c>
      <c r="BF3" s="1139" t="s">
        <v>68</v>
      </c>
      <c r="BG3" s="1141" t="s">
        <v>69</v>
      </c>
      <c r="BH3" s="1079" t="s">
        <v>241</v>
      </c>
    </row>
    <row r="4" spans="1:61" ht="79.5" customHeight="1" thickBot="1" x14ac:dyDescent="0.25">
      <c r="A4" s="1209"/>
      <c r="B4" s="920"/>
      <c r="C4" s="1211"/>
      <c r="D4" s="1211"/>
      <c r="E4" s="1211"/>
      <c r="F4" s="1211"/>
      <c r="G4" s="1209"/>
      <c r="H4" s="1204" t="s">
        <v>19</v>
      </c>
      <c r="I4" s="1205"/>
      <c r="J4" s="1206" t="s">
        <v>20</v>
      </c>
      <c r="K4" s="1207"/>
      <c r="L4" s="1204" t="s">
        <v>19</v>
      </c>
      <c r="M4" s="1205"/>
      <c r="N4" s="1206" t="s">
        <v>20</v>
      </c>
      <c r="O4" s="1207"/>
      <c r="P4" s="1204" t="s">
        <v>19</v>
      </c>
      <c r="Q4" s="1205"/>
      <c r="R4" s="1206" t="s">
        <v>20</v>
      </c>
      <c r="S4" s="1207"/>
      <c r="T4" s="1204" t="s">
        <v>19</v>
      </c>
      <c r="U4" s="1205"/>
      <c r="V4" s="1206" t="s">
        <v>20</v>
      </c>
      <c r="W4" s="1207"/>
      <c r="X4" s="1204" t="s">
        <v>19</v>
      </c>
      <c r="Y4" s="1205"/>
      <c r="Z4" s="1206" t="s">
        <v>20</v>
      </c>
      <c r="AA4" s="1207"/>
      <c r="AB4" s="1204" t="s">
        <v>19</v>
      </c>
      <c r="AC4" s="1205"/>
      <c r="AD4" s="1206" t="s">
        <v>20</v>
      </c>
      <c r="AE4" s="1207"/>
      <c r="AF4" s="1204" t="s">
        <v>19</v>
      </c>
      <c r="AG4" s="1205"/>
      <c r="AH4" s="1206" t="s">
        <v>20</v>
      </c>
      <c r="AI4" s="1207"/>
      <c r="AJ4" s="1204" t="s">
        <v>19</v>
      </c>
      <c r="AK4" s="1205"/>
      <c r="AL4" s="1206" t="s">
        <v>20</v>
      </c>
      <c r="AM4" s="1207"/>
      <c r="AN4" s="1204" t="s">
        <v>19</v>
      </c>
      <c r="AO4" s="1205"/>
      <c r="AP4" s="1206" t="s">
        <v>20</v>
      </c>
      <c r="AQ4" s="1207"/>
      <c r="AR4" s="1204" t="s">
        <v>19</v>
      </c>
      <c r="AS4" s="1205"/>
      <c r="AT4" s="1206" t="s">
        <v>20</v>
      </c>
      <c r="AU4" s="1207"/>
      <c r="AV4" s="1204" t="s">
        <v>19</v>
      </c>
      <c r="AW4" s="1205"/>
      <c r="AX4" s="1206" t="s">
        <v>20</v>
      </c>
      <c r="AY4" s="1207"/>
      <c r="AZ4" s="1204" t="s">
        <v>19</v>
      </c>
      <c r="BA4" s="1205"/>
      <c r="BB4" s="1206" t="s">
        <v>20</v>
      </c>
      <c r="BC4" s="1207"/>
      <c r="BD4" s="1072"/>
      <c r="BE4" s="1074"/>
      <c r="BF4" s="1140"/>
      <c r="BG4" s="1142"/>
      <c r="BH4" s="1080"/>
    </row>
    <row r="5" spans="1:61" ht="57.75" customHeight="1" thickBot="1" x14ac:dyDescent="0.25">
      <c r="A5" s="113" t="s">
        <v>186</v>
      </c>
      <c r="B5" s="89">
        <v>0.1</v>
      </c>
      <c r="C5" s="90" t="s">
        <v>187</v>
      </c>
      <c r="D5" s="87" t="s">
        <v>188</v>
      </c>
      <c r="E5" s="91" t="s">
        <v>189</v>
      </c>
      <c r="F5" s="92">
        <v>0.1</v>
      </c>
      <c r="G5" s="124" t="s">
        <v>109</v>
      </c>
      <c r="H5" s="1212">
        <v>1</v>
      </c>
      <c r="I5" s="1203"/>
      <c r="J5" s="1195">
        <v>1</v>
      </c>
      <c r="K5" s="1196"/>
      <c r="L5" s="1202">
        <v>1</v>
      </c>
      <c r="M5" s="1203"/>
      <c r="N5" s="1195">
        <v>1</v>
      </c>
      <c r="O5" s="1196"/>
      <c r="P5" s="1202">
        <v>1</v>
      </c>
      <c r="Q5" s="1203"/>
      <c r="R5" s="1195">
        <v>1</v>
      </c>
      <c r="S5" s="1196"/>
      <c r="T5" s="1200"/>
      <c r="U5" s="1201"/>
      <c r="V5" s="1195">
        <v>1</v>
      </c>
      <c r="W5" s="1196"/>
      <c r="X5" s="1200"/>
      <c r="Y5" s="1201"/>
      <c r="Z5" s="1195">
        <v>1</v>
      </c>
      <c r="AA5" s="1196"/>
      <c r="AB5" s="1200"/>
      <c r="AC5" s="1201"/>
      <c r="AD5" s="1195">
        <v>1</v>
      </c>
      <c r="AE5" s="1196"/>
      <c r="AF5" s="1200"/>
      <c r="AG5" s="1201"/>
      <c r="AH5" s="1195">
        <v>1</v>
      </c>
      <c r="AI5" s="1196"/>
      <c r="AJ5" s="1200"/>
      <c r="AK5" s="1201"/>
      <c r="AL5" s="1195">
        <v>1</v>
      </c>
      <c r="AM5" s="1196"/>
      <c r="AN5" s="1200"/>
      <c r="AO5" s="1201"/>
      <c r="AP5" s="1195">
        <v>1</v>
      </c>
      <c r="AQ5" s="1196"/>
      <c r="AR5" s="1200"/>
      <c r="AS5" s="1201"/>
      <c r="AT5" s="1195">
        <v>1</v>
      </c>
      <c r="AU5" s="1196"/>
      <c r="AV5" s="1200"/>
      <c r="AW5" s="1201"/>
      <c r="AX5" s="1195">
        <v>1</v>
      </c>
      <c r="AY5" s="1196"/>
      <c r="AZ5" s="1197"/>
      <c r="BA5" s="1198"/>
      <c r="BB5" s="1195">
        <v>1</v>
      </c>
      <c r="BC5" s="1199"/>
      <c r="BD5" s="129">
        <f>H5+L5+P5+T5+X5+AB5+AF5+AJ5+AN5+AR5+AV5+AZ5</f>
        <v>3</v>
      </c>
      <c r="BE5" s="130">
        <f>J5+N5+R5+V5+Z5+AD5+AH5+AL5+AP5+AT5+AX5+BB5</f>
        <v>12</v>
      </c>
      <c r="BF5" s="131">
        <f>BD5/BE5</f>
        <v>0.25</v>
      </c>
      <c r="BG5" s="276">
        <f>F5*BF5</f>
        <v>2.5000000000000001E-2</v>
      </c>
      <c r="BH5" s="133">
        <f>F5</f>
        <v>0.1</v>
      </c>
      <c r="BI5" s="279">
        <f>((J5+N5+R5)/BE5)*BH5</f>
        <v>2.5000000000000001E-2</v>
      </c>
    </row>
    <row r="6" spans="1:61" ht="57" x14ac:dyDescent="0.2">
      <c r="A6" s="114" t="s">
        <v>190</v>
      </c>
      <c r="B6" s="52">
        <v>0.1</v>
      </c>
      <c r="C6" s="94" t="s">
        <v>191</v>
      </c>
      <c r="D6" s="93" t="s">
        <v>192</v>
      </c>
      <c r="E6" s="93" t="s">
        <v>193</v>
      </c>
      <c r="F6" s="79">
        <v>0.1</v>
      </c>
      <c r="G6" s="120" t="s">
        <v>123</v>
      </c>
      <c r="H6" s="1194">
        <v>8.3299999999999999E-2</v>
      </c>
      <c r="I6" s="1167"/>
      <c r="J6" s="1155">
        <v>8.3299999999999999E-2</v>
      </c>
      <c r="K6" s="1156"/>
      <c r="L6" s="1164">
        <v>8.3299999999999999E-2</v>
      </c>
      <c r="M6" s="1165"/>
      <c r="N6" s="1155">
        <v>8.3299999999999999E-2</v>
      </c>
      <c r="O6" s="1156"/>
      <c r="P6" s="1166">
        <v>8.3299999999999999E-2</v>
      </c>
      <c r="Q6" s="1167"/>
      <c r="R6" s="1155">
        <v>8.3299999999999999E-2</v>
      </c>
      <c r="S6" s="1156"/>
      <c r="T6" s="1153"/>
      <c r="U6" s="1154"/>
      <c r="V6" s="1155">
        <v>8.3299999999999999E-2</v>
      </c>
      <c r="W6" s="1156"/>
      <c r="X6" s="1153"/>
      <c r="Y6" s="1154"/>
      <c r="Z6" s="1155">
        <v>8.3299999999999999E-2</v>
      </c>
      <c r="AA6" s="1156"/>
      <c r="AB6" s="1153"/>
      <c r="AC6" s="1154"/>
      <c r="AD6" s="1155">
        <v>8.3299999999999999E-2</v>
      </c>
      <c r="AE6" s="1156"/>
      <c r="AF6" s="1153"/>
      <c r="AG6" s="1154"/>
      <c r="AH6" s="1155">
        <v>8.3299999999999999E-2</v>
      </c>
      <c r="AI6" s="1156"/>
      <c r="AJ6" s="1153"/>
      <c r="AK6" s="1154"/>
      <c r="AL6" s="1155">
        <v>8.3299999999999999E-2</v>
      </c>
      <c r="AM6" s="1156"/>
      <c r="AN6" s="1153"/>
      <c r="AO6" s="1154"/>
      <c r="AP6" s="1155">
        <v>8.3299999999999999E-2</v>
      </c>
      <c r="AQ6" s="1156"/>
      <c r="AR6" s="1153"/>
      <c r="AS6" s="1154"/>
      <c r="AT6" s="1155">
        <v>8.3299999999999999E-2</v>
      </c>
      <c r="AU6" s="1156"/>
      <c r="AV6" s="1153"/>
      <c r="AW6" s="1154"/>
      <c r="AX6" s="1155">
        <v>8.3299999999999999E-2</v>
      </c>
      <c r="AY6" s="1156"/>
      <c r="AZ6" s="998"/>
      <c r="BA6" s="998"/>
      <c r="BB6" s="1155">
        <v>8.3699999999999997E-2</v>
      </c>
      <c r="BC6" s="1157"/>
      <c r="BD6" s="262">
        <f t="shared" ref="BD6:BD17" si="0">H6+L6+P6+T6+X6+AB6+AF6+AJ6+AN6+AR6+AV6+AZ6</f>
        <v>0.24990000000000001</v>
      </c>
      <c r="BE6" s="71">
        <f t="shared" ref="BE6:BE17" si="1">J6+N6+R6+V6+Z6+AD6+AH6+AL6+AP6+AT6+AX6+BB6</f>
        <v>1</v>
      </c>
      <c r="BF6" s="47">
        <f t="shared" ref="BF6:BF17" si="2">BD6/BE6</f>
        <v>0.24990000000000001</v>
      </c>
      <c r="BG6" s="271">
        <f t="shared" ref="BG6:BG17" si="3">F6*BF6</f>
        <v>2.4990000000000002E-2</v>
      </c>
      <c r="BH6" s="125">
        <f t="shared" ref="BH6:BH17" si="4">F6</f>
        <v>0.1</v>
      </c>
      <c r="BI6" s="279">
        <f t="shared" ref="BI6:BI17" si="5">((J6+N6+R6)/BE6)*BH6</f>
        <v>2.4990000000000002E-2</v>
      </c>
    </row>
    <row r="7" spans="1:61" ht="71.25" x14ac:dyDescent="0.2">
      <c r="A7" s="1172" t="s">
        <v>194</v>
      </c>
      <c r="B7" s="1033">
        <v>0.1</v>
      </c>
      <c r="C7" s="94" t="s">
        <v>195</v>
      </c>
      <c r="D7" s="93" t="s">
        <v>196</v>
      </c>
      <c r="E7" s="93" t="s">
        <v>197</v>
      </c>
      <c r="F7" s="95">
        <v>0.05</v>
      </c>
      <c r="G7" s="120" t="s">
        <v>198</v>
      </c>
      <c r="H7" s="1194">
        <v>8.3299999999999999E-2</v>
      </c>
      <c r="I7" s="1167"/>
      <c r="J7" s="1155">
        <v>8.3299999999999999E-2</v>
      </c>
      <c r="K7" s="1156"/>
      <c r="L7" s="1164">
        <v>8.3299999999999999E-2</v>
      </c>
      <c r="M7" s="1165"/>
      <c r="N7" s="1155">
        <v>8.3299999999999999E-2</v>
      </c>
      <c r="O7" s="1156"/>
      <c r="P7" s="1166">
        <v>8.3299999999999999E-2</v>
      </c>
      <c r="Q7" s="1167"/>
      <c r="R7" s="1155">
        <v>8.3299999999999999E-2</v>
      </c>
      <c r="S7" s="1156"/>
      <c r="T7" s="1153"/>
      <c r="U7" s="1154"/>
      <c r="V7" s="1155">
        <v>8.3299999999999999E-2</v>
      </c>
      <c r="W7" s="1156"/>
      <c r="X7" s="1153"/>
      <c r="Y7" s="1154"/>
      <c r="Z7" s="1155">
        <v>8.3299999999999999E-2</v>
      </c>
      <c r="AA7" s="1156"/>
      <c r="AB7" s="1153"/>
      <c r="AC7" s="1154"/>
      <c r="AD7" s="1155">
        <v>8.3299999999999999E-2</v>
      </c>
      <c r="AE7" s="1156"/>
      <c r="AF7" s="1153"/>
      <c r="AG7" s="1154"/>
      <c r="AH7" s="1155">
        <v>8.3299999999999999E-2</v>
      </c>
      <c r="AI7" s="1156"/>
      <c r="AJ7" s="1153"/>
      <c r="AK7" s="1154"/>
      <c r="AL7" s="1155">
        <v>8.3299999999999999E-2</v>
      </c>
      <c r="AM7" s="1156"/>
      <c r="AN7" s="1153"/>
      <c r="AO7" s="1154"/>
      <c r="AP7" s="1155">
        <v>8.3299999999999999E-2</v>
      </c>
      <c r="AQ7" s="1156"/>
      <c r="AR7" s="1153"/>
      <c r="AS7" s="1154"/>
      <c r="AT7" s="1155">
        <v>8.3299999999999999E-2</v>
      </c>
      <c r="AU7" s="1156"/>
      <c r="AV7" s="1153"/>
      <c r="AW7" s="1154"/>
      <c r="AX7" s="1155">
        <v>8.3299999999999999E-2</v>
      </c>
      <c r="AY7" s="1156"/>
      <c r="AZ7" s="998"/>
      <c r="BA7" s="998"/>
      <c r="BB7" s="1155">
        <v>8.3699999999999997E-2</v>
      </c>
      <c r="BC7" s="1157"/>
      <c r="BD7" s="262">
        <f t="shared" si="0"/>
        <v>0.24990000000000001</v>
      </c>
      <c r="BE7" s="71">
        <f t="shared" si="1"/>
        <v>1</v>
      </c>
      <c r="BF7" s="47">
        <f t="shared" si="2"/>
        <v>0.24990000000000001</v>
      </c>
      <c r="BG7" s="271">
        <f t="shared" si="3"/>
        <v>1.2495000000000001E-2</v>
      </c>
      <c r="BH7" s="125">
        <f t="shared" si="4"/>
        <v>0.05</v>
      </c>
      <c r="BI7" s="279">
        <f t="shared" si="5"/>
        <v>1.2495000000000001E-2</v>
      </c>
    </row>
    <row r="8" spans="1:61" ht="57" x14ac:dyDescent="0.2">
      <c r="A8" s="1172"/>
      <c r="B8" s="1033"/>
      <c r="C8" s="94" t="s">
        <v>199</v>
      </c>
      <c r="D8" s="93" t="s">
        <v>200</v>
      </c>
      <c r="E8" s="93" t="s">
        <v>201</v>
      </c>
      <c r="F8" s="95">
        <v>0.05</v>
      </c>
      <c r="G8" s="120" t="s">
        <v>202</v>
      </c>
      <c r="H8" s="1194">
        <v>8.3299999999999999E-2</v>
      </c>
      <c r="I8" s="1167"/>
      <c r="J8" s="1155">
        <v>8.3299999999999999E-2</v>
      </c>
      <c r="K8" s="1156"/>
      <c r="L8" s="1164">
        <v>8.3299999999999999E-2</v>
      </c>
      <c r="M8" s="1165"/>
      <c r="N8" s="1155">
        <v>8.3299999999999999E-2</v>
      </c>
      <c r="O8" s="1156"/>
      <c r="P8" s="1166">
        <v>8.3299999999999999E-2</v>
      </c>
      <c r="Q8" s="1167"/>
      <c r="R8" s="1155">
        <v>8.3299999999999999E-2</v>
      </c>
      <c r="S8" s="1156"/>
      <c r="T8" s="1153"/>
      <c r="U8" s="1154"/>
      <c r="V8" s="1155">
        <v>8.3299999999999999E-2</v>
      </c>
      <c r="W8" s="1156"/>
      <c r="X8" s="1153"/>
      <c r="Y8" s="1154"/>
      <c r="Z8" s="1155">
        <v>8.3299999999999999E-2</v>
      </c>
      <c r="AA8" s="1156"/>
      <c r="AB8" s="1153"/>
      <c r="AC8" s="1154"/>
      <c r="AD8" s="1155">
        <v>8.3299999999999999E-2</v>
      </c>
      <c r="AE8" s="1156"/>
      <c r="AF8" s="1153"/>
      <c r="AG8" s="1154"/>
      <c r="AH8" s="1155">
        <v>8.3299999999999999E-2</v>
      </c>
      <c r="AI8" s="1156"/>
      <c r="AJ8" s="1153"/>
      <c r="AK8" s="1154"/>
      <c r="AL8" s="1155">
        <v>8.3299999999999999E-2</v>
      </c>
      <c r="AM8" s="1156"/>
      <c r="AN8" s="1153"/>
      <c r="AO8" s="1154"/>
      <c r="AP8" s="1155">
        <v>8.3299999999999999E-2</v>
      </c>
      <c r="AQ8" s="1156"/>
      <c r="AR8" s="1153"/>
      <c r="AS8" s="1154"/>
      <c r="AT8" s="1155">
        <v>8.3299999999999999E-2</v>
      </c>
      <c r="AU8" s="1156"/>
      <c r="AV8" s="1153"/>
      <c r="AW8" s="1154"/>
      <c r="AX8" s="1155">
        <v>8.3299999999999999E-2</v>
      </c>
      <c r="AY8" s="1156"/>
      <c r="AZ8" s="998"/>
      <c r="BA8" s="998"/>
      <c r="BB8" s="1155">
        <v>8.3699999999999997E-2</v>
      </c>
      <c r="BC8" s="1157"/>
      <c r="BD8" s="262">
        <f t="shared" si="0"/>
        <v>0.24990000000000001</v>
      </c>
      <c r="BE8" s="71">
        <f t="shared" si="1"/>
        <v>1</v>
      </c>
      <c r="BF8" s="47">
        <f t="shared" si="2"/>
        <v>0.24990000000000001</v>
      </c>
      <c r="BG8" s="271">
        <f t="shared" si="3"/>
        <v>1.2495000000000001E-2</v>
      </c>
      <c r="BH8" s="125">
        <f t="shared" si="4"/>
        <v>0.05</v>
      </c>
      <c r="BI8" s="279">
        <f t="shared" si="5"/>
        <v>1.2495000000000001E-2</v>
      </c>
    </row>
    <row r="9" spans="1:61" ht="57" x14ac:dyDescent="0.2">
      <c r="A9" s="1058" t="s">
        <v>203</v>
      </c>
      <c r="B9" s="1033">
        <v>0.25</v>
      </c>
      <c r="C9" s="117" t="s">
        <v>204</v>
      </c>
      <c r="D9" s="93" t="s">
        <v>205</v>
      </c>
      <c r="E9" s="93" t="s">
        <v>206</v>
      </c>
      <c r="F9" s="95">
        <v>0.1</v>
      </c>
      <c r="G9" s="120" t="s">
        <v>207</v>
      </c>
      <c r="H9" s="1194">
        <v>8.3299999999999999E-2</v>
      </c>
      <c r="I9" s="1167"/>
      <c r="J9" s="1155">
        <v>8.3299999999999999E-2</v>
      </c>
      <c r="K9" s="1156"/>
      <c r="L9" s="1164">
        <v>8.3299999999999999E-2</v>
      </c>
      <c r="M9" s="1165"/>
      <c r="N9" s="1155">
        <v>8.3299999999999999E-2</v>
      </c>
      <c r="O9" s="1156"/>
      <c r="P9" s="1166">
        <v>8.3299999999999999E-2</v>
      </c>
      <c r="Q9" s="1167"/>
      <c r="R9" s="1155">
        <v>8.3299999999999999E-2</v>
      </c>
      <c r="S9" s="1156"/>
      <c r="T9" s="1153"/>
      <c r="U9" s="1154"/>
      <c r="V9" s="1155">
        <v>8.3299999999999999E-2</v>
      </c>
      <c r="W9" s="1156"/>
      <c r="X9" s="1153"/>
      <c r="Y9" s="1154"/>
      <c r="Z9" s="1155">
        <v>8.3299999999999999E-2</v>
      </c>
      <c r="AA9" s="1156"/>
      <c r="AB9" s="1153"/>
      <c r="AC9" s="1154"/>
      <c r="AD9" s="1155">
        <v>8.3299999999999999E-2</v>
      </c>
      <c r="AE9" s="1156"/>
      <c r="AF9" s="1153"/>
      <c r="AG9" s="1154"/>
      <c r="AH9" s="1155">
        <v>8.3299999999999999E-2</v>
      </c>
      <c r="AI9" s="1156"/>
      <c r="AJ9" s="1153"/>
      <c r="AK9" s="1154"/>
      <c r="AL9" s="1155">
        <v>8.3299999999999999E-2</v>
      </c>
      <c r="AM9" s="1156"/>
      <c r="AN9" s="1153"/>
      <c r="AO9" s="1154"/>
      <c r="AP9" s="1155">
        <v>8.3299999999999999E-2</v>
      </c>
      <c r="AQ9" s="1156"/>
      <c r="AR9" s="1153"/>
      <c r="AS9" s="1154"/>
      <c r="AT9" s="1155">
        <v>8.3299999999999999E-2</v>
      </c>
      <c r="AU9" s="1156"/>
      <c r="AV9" s="1153"/>
      <c r="AW9" s="1154"/>
      <c r="AX9" s="1155">
        <v>8.3299999999999999E-2</v>
      </c>
      <c r="AY9" s="1156"/>
      <c r="AZ9" s="998"/>
      <c r="BA9" s="998"/>
      <c r="BB9" s="1155">
        <v>8.3699999999999997E-2</v>
      </c>
      <c r="BC9" s="1157"/>
      <c r="BD9" s="262">
        <f t="shared" si="0"/>
        <v>0.24990000000000001</v>
      </c>
      <c r="BE9" s="71">
        <f t="shared" si="1"/>
        <v>1</v>
      </c>
      <c r="BF9" s="47">
        <f t="shared" si="2"/>
        <v>0.24990000000000001</v>
      </c>
      <c r="BG9" s="271">
        <f t="shared" si="3"/>
        <v>2.4990000000000002E-2</v>
      </c>
      <c r="BH9" s="125">
        <f t="shared" si="4"/>
        <v>0.1</v>
      </c>
      <c r="BI9" s="279">
        <f t="shared" si="5"/>
        <v>2.4990000000000002E-2</v>
      </c>
    </row>
    <row r="10" spans="1:61" ht="42.75" x14ac:dyDescent="0.2">
      <c r="A10" s="1192"/>
      <c r="B10" s="1033"/>
      <c r="C10" s="1189" t="s">
        <v>208</v>
      </c>
      <c r="D10" s="96" t="s">
        <v>209</v>
      </c>
      <c r="E10" s="96" t="s">
        <v>210</v>
      </c>
      <c r="F10" s="79">
        <v>0.05</v>
      </c>
      <c r="G10" s="1190" t="s">
        <v>211</v>
      </c>
      <c r="H10" s="1188">
        <v>2</v>
      </c>
      <c r="I10" s="1009"/>
      <c r="J10" s="1186">
        <v>2</v>
      </c>
      <c r="K10" s="1186"/>
      <c r="L10" s="1009">
        <v>2</v>
      </c>
      <c r="M10" s="1009"/>
      <c r="N10" s="1186">
        <v>2</v>
      </c>
      <c r="O10" s="1186"/>
      <c r="P10" s="1009">
        <v>2</v>
      </c>
      <c r="Q10" s="1009"/>
      <c r="R10" s="1186">
        <v>2</v>
      </c>
      <c r="S10" s="1186"/>
      <c r="T10" s="998"/>
      <c r="U10" s="998"/>
      <c r="V10" s="1186">
        <v>2</v>
      </c>
      <c r="W10" s="1186"/>
      <c r="X10" s="998"/>
      <c r="Y10" s="998"/>
      <c r="Z10" s="1186">
        <v>2</v>
      </c>
      <c r="AA10" s="1186"/>
      <c r="AB10" s="998"/>
      <c r="AC10" s="998"/>
      <c r="AD10" s="1186">
        <v>2</v>
      </c>
      <c r="AE10" s="1186"/>
      <c r="AF10" s="998"/>
      <c r="AG10" s="998"/>
      <c r="AH10" s="1186">
        <v>2</v>
      </c>
      <c r="AI10" s="1186"/>
      <c r="AJ10" s="998"/>
      <c r="AK10" s="998"/>
      <c r="AL10" s="1186">
        <v>2</v>
      </c>
      <c r="AM10" s="1186"/>
      <c r="AN10" s="998"/>
      <c r="AO10" s="998"/>
      <c r="AP10" s="1186">
        <v>2</v>
      </c>
      <c r="AQ10" s="1186"/>
      <c r="AR10" s="998"/>
      <c r="AS10" s="998"/>
      <c r="AT10" s="1186">
        <v>2</v>
      </c>
      <c r="AU10" s="1186"/>
      <c r="AV10" s="998"/>
      <c r="AW10" s="998"/>
      <c r="AX10" s="1186">
        <v>2</v>
      </c>
      <c r="AY10" s="1186"/>
      <c r="AZ10" s="998"/>
      <c r="BA10" s="998"/>
      <c r="BB10" s="1186">
        <v>2</v>
      </c>
      <c r="BC10" s="1187"/>
      <c r="BD10" s="123">
        <f t="shared" si="0"/>
        <v>6</v>
      </c>
      <c r="BE10" s="70">
        <f t="shared" si="1"/>
        <v>24</v>
      </c>
      <c r="BF10" s="47">
        <f t="shared" si="2"/>
        <v>0.25</v>
      </c>
      <c r="BG10" s="271">
        <f t="shared" si="3"/>
        <v>1.2500000000000001E-2</v>
      </c>
      <c r="BH10" s="125">
        <f t="shared" si="4"/>
        <v>0.05</v>
      </c>
      <c r="BI10" s="279">
        <f t="shared" si="5"/>
        <v>1.2500000000000001E-2</v>
      </c>
    </row>
    <row r="11" spans="1:61" ht="28.5" x14ac:dyDescent="0.2">
      <c r="A11" s="1192"/>
      <c r="B11" s="1033"/>
      <c r="C11" s="1189"/>
      <c r="D11" s="96" t="s">
        <v>212</v>
      </c>
      <c r="E11" s="93" t="s">
        <v>213</v>
      </c>
      <c r="F11" s="79">
        <v>0.05</v>
      </c>
      <c r="G11" s="1191"/>
      <c r="H11" s="1188">
        <v>1</v>
      </c>
      <c r="I11" s="1009"/>
      <c r="J11" s="1186">
        <v>1</v>
      </c>
      <c r="K11" s="1186"/>
      <c r="L11" s="1009">
        <v>1</v>
      </c>
      <c r="M11" s="1009"/>
      <c r="N11" s="1186">
        <v>1</v>
      </c>
      <c r="O11" s="1186"/>
      <c r="P11" s="1009">
        <v>1</v>
      </c>
      <c r="Q11" s="1009"/>
      <c r="R11" s="1186">
        <v>1</v>
      </c>
      <c r="S11" s="1186"/>
      <c r="T11" s="998"/>
      <c r="U11" s="998"/>
      <c r="V11" s="1186">
        <v>1</v>
      </c>
      <c r="W11" s="1186"/>
      <c r="X11" s="998"/>
      <c r="Y11" s="998"/>
      <c r="Z11" s="1186">
        <v>1</v>
      </c>
      <c r="AA11" s="1186"/>
      <c r="AB11" s="998"/>
      <c r="AC11" s="998"/>
      <c r="AD11" s="1186">
        <v>1</v>
      </c>
      <c r="AE11" s="1186"/>
      <c r="AF11" s="998"/>
      <c r="AG11" s="998"/>
      <c r="AH11" s="1186">
        <v>1</v>
      </c>
      <c r="AI11" s="1186"/>
      <c r="AJ11" s="998"/>
      <c r="AK11" s="998"/>
      <c r="AL11" s="1186">
        <v>1</v>
      </c>
      <c r="AM11" s="1186"/>
      <c r="AN11" s="998"/>
      <c r="AO11" s="998"/>
      <c r="AP11" s="1186">
        <v>1</v>
      </c>
      <c r="AQ11" s="1186"/>
      <c r="AR11" s="998"/>
      <c r="AS11" s="998"/>
      <c r="AT11" s="1186">
        <v>1</v>
      </c>
      <c r="AU11" s="1186"/>
      <c r="AV11" s="998"/>
      <c r="AW11" s="998"/>
      <c r="AX11" s="1186">
        <v>1</v>
      </c>
      <c r="AY11" s="1186"/>
      <c r="AZ11" s="998"/>
      <c r="BA11" s="998"/>
      <c r="BB11" s="1186">
        <v>1</v>
      </c>
      <c r="BC11" s="1187"/>
      <c r="BD11" s="123">
        <f t="shared" si="0"/>
        <v>3</v>
      </c>
      <c r="BE11" s="70">
        <f t="shared" si="1"/>
        <v>12</v>
      </c>
      <c r="BF11" s="47">
        <f t="shared" si="2"/>
        <v>0.25</v>
      </c>
      <c r="BG11" s="271">
        <f t="shared" si="3"/>
        <v>1.2500000000000001E-2</v>
      </c>
      <c r="BH11" s="125">
        <f t="shared" si="4"/>
        <v>0.05</v>
      </c>
      <c r="BI11" s="279">
        <f t="shared" si="5"/>
        <v>1.2500000000000001E-2</v>
      </c>
    </row>
    <row r="12" spans="1:61" ht="77.25" customHeight="1" x14ac:dyDescent="0.2">
      <c r="A12" s="1193"/>
      <c r="B12" s="1033"/>
      <c r="C12" s="94" t="s">
        <v>214</v>
      </c>
      <c r="D12" s="96" t="s">
        <v>215</v>
      </c>
      <c r="E12" s="93" t="s">
        <v>216</v>
      </c>
      <c r="F12" s="79">
        <v>0.05</v>
      </c>
      <c r="G12" s="122" t="s">
        <v>217</v>
      </c>
      <c r="H12" s="1188">
        <v>2</v>
      </c>
      <c r="I12" s="1009"/>
      <c r="J12" s="1186">
        <v>2</v>
      </c>
      <c r="K12" s="1186"/>
      <c r="L12" s="1009">
        <v>2</v>
      </c>
      <c r="M12" s="1009"/>
      <c r="N12" s="1186">
        <v>2</v>
      </c>
      <c r="O12" s="1186"/>
      <c r="P12" s="1009">
        <v>2</v>
      </c>
      <c r="Q12" s="1009"/>
      <c r="R12" s="1186">
        <v>2</v>
      </c>
      <c r="S12" s="1186"/>
      <c r="T12" s="998"/>
      <c r="U12" s="998"/>
      <c r="V12" s="1186">
        <v>2</v>
      </c>
      <c r="W12" s="1186"/>
      <c r="X12" s="998"/>
      <c r="Y12" s="998"/>
      <c r="Z12" s="1186">
        <v>2</v>
      </c>
      <c r="AA12" s="1186"/>
      <c r="AB12" s="998"/>
      <c r="AC12" s="998"/>
      <c r="AD12" s="1186">
        <v>2</v>
      </c>
      <c r="AE12" s="1186"/>
      <c r="AF12" s="998"/>
      <c r="AG12" s="998"/>
      <c r="AH12" s="1186">
        <v>2</v>
      </c>
      <c r="AI12" s="1186"/>
      <c r="AJ12" s="998"/>
      <c r="AK12" s="998"/>
      <c r="AL12" s="1186">
        <v>2</v>
      </c>
      <c r="AM12" s="1186"/>
      <c r="AN12" s="998"/>
      <c r="AO12" s="998"/>
      <c r="AP12" s="1186">
        <v>2</v>
      </c>
      <c r="AQ12" s="1186"/>
      <c r="AR12" s="998"/>
      <c r="AS12" s="998"/>
      <c r="AT12" s="1186">
        <v>2</v>
      </c>
      <c r="AU12" s="1186"/>
      <c r="AV12" s="998"/>
      <c r="AW12" s="998"/>
      <c r="AX12" s="1186">
        <v>2</v>
      </c>
      <c r="AY12" s="1186"/>
      <c r="AZ12" s="998"/>
      <c r="BA12" s="998"/>
      <c r="BB12" s="1186">
        <v>2</v>
      </c>
      <c r="BC12" s="1187"/>
      <c r="BD12" s="123">
        <f t="shared" si="0"/>
        <v>6</v>
      </c>
      <c r="BE12" s="70">
        <f t="shared" si="1"/>
        <v>24</v>
      </c>
      <c r="BF12" s="47">
        <f t="shared" si="2"/>
        <v>0.25</v>
      </c>
      <c r="BG12" s="271">
        <f t="shared" si="3"/>
        <v>1.2500000000000001E-2</v>
      </c>
      <c r="BH12" s="125">
        <f t="shared" si="4"/>
        <v>0.05</v>
      </c>
      <c r="BI12" s="279">
        <f t="shared" si="5"/>
        <v>1.2500000000000001E-2</v>
      </c>
    </row>
    <row r="13" spans="1:61" ht="46.5" customHeight="1" x14ac:dyDescent="0.2">
      <c r="A13" s="114" t="s">
        <v>218</v>
      </c>
      <c r="B13" s="52">
        <v>0.1</v>
      </c>
      <c r="C13" s="119" t="s">
        <v>219</v>
      </c>
      <c r="D13" s="93" t="s">
        <v>220</v>
      </c>
      <c r="E13" s="93" t="s">
        <v>221</v>
      </c>
      <c r="F13" s="79">
        <v>0.1</v>
      </c>
      <c r="G13" s="120" t="s">
        <v>222</v>
      </c>
      <c r="H13" s="1180"/>
      <c r="I13" s="1154"/>
      <c r="J13" s="1150"/>
      <c r="K13" s="1151"/>
      <c r="L13" s="1161">
        <v>1</v>
      </c>
      <c r="M13" s="1162"/>
      <c r="N13" s="1150"/>
      <c r="O13" s="1151"/>
      <c r="P13" s="1161">
        <v>1</v>
      </c>
      <c r="Q13" s="1162"/>
      <c r="R13" s="1163">
        <v>1</v>
      </c>
      <c r="S13" s="1156"/>
      <c r="T13" s="1153"/>
      <c r="U13" s="1154"/>
      <c r="V13" s="1150"/>
      <c r="W13" s="1151"/>
      <c r="X13" s="1153"/>
      <c r="Y13" s="1154"/>
      <c r="Z13" s="1150"/>
      <c r="AA13" s="1151"/>
      <c r="AB13" s="1153"/>
      <c r="AC13" s="1154"/>
      <c r="AD13" s="1163">
        <v>1</v>
      </c>
      <c r="AE13" s="1156"/>
      <c r="AF13" s="1153"/>
      <c r="AG13" s="1154"/>
      <c r="AH13" s="1150"/>
      <c r="AI13" s="1151"/>
      <c r="AJ13" s="1153"/>
      <c r="AK13" s="1154"/>
      <c r="AL13" s="1150"/>
      <c r="AM13" s="1151"/>
      <c r="AN13" s="1153"/>
      <c r="AO13" s="1154"/>
      <c r="AP13" s="1163">
        <v>1</v>
      </c>
      <c r="AQ13" s="1156"/>
      <c r="AR13" s="1153"/>
      <c r="AS13" s="1154"/>
      <c r="AT13" s="1150"/>
      <c r="AU13" s="1151"/>
      <c r="AV13" s="1153"/>
      <c r="AW13" s="1154"/>
      <c r="AX13" s="1150"/>
      <c r="AY13" s="1151"/>
      <c r="AZ13" s="998"/>
      <c r="BA13" s="998"/>
      <c r="BB13" s="1163">
        <v>1</v>
      </c>
      <c r="BC13" s="1157"/>
      <c r="BD13" s="123">
        <f t="shared" si="0"/>
        <v>2</v>
      </c>
      <c r="BE13" s="70">
        <f t="shared" si="1"/>
        <v>4</v>
      </c>
      <c r="BF13" s="47">
        <f t="shared" si="2"/>
        <v>0.5</v>
      </c>
      <c r="BG13" s="271">
        <f t="shared" si="3"/>
        <v>0.05</v>
      </c>
      <c r="BH13" s="125">
        <f t="shared" si="4"/>
        <v>0.1</v>
      </c>
      <c r="BI13" s="279">
        <f t="shared" si="5"/>
        <v>2.5000000000000001E-2</v>
      </c>
    </row>
    <row r="14" spans="1:61" ht="57.75" thickBot="1" x14ac:dyDescent="0.25">
      <c r="A14" s="1172" t="s">
        <v>223</v>
      </c>
      <c r="B14" s="1033">
        <v>0.3</v>
      </c>
      <c r="C14" s="94" t="s">
        <v>224</v>
      </c>
      <c r="D14" s="96" t="s">
        <v>225</v>
      </c>
      <c r="E14" s="93" t="s">
        <v>226</v>
      </c>
      <c r="F14" s="79">
        <v>0.1</v>
      </c>
      <c r="G14" s="120" t="s">
        <v>227</v>
      </c>
      <c r="H14" s="1173">
        <v>9.0999999999999998E-2</v>
      </c>
      <c r="I14" s="1174"/>
      <c r="J14" s="1175"/>
      <c r="K14" s="1176"/>
      <c r="L14" s="1177">
        <v>9.0999999999999998E-2</v>
      </c>
      <c r="M14" s="1178"/>
      <c r="N14" s="1170">
        <v>9.0999999999999998E-2</v>
      </c>
      <c r="O14" s="1171"/>
      <c r="P14" s="1181">
        <v>9.0999999999999998E-2</v>
      </c>
      <c r="Q14" s="1182"/>
      <c r="R14" s="1170">
        <v>9.0999999999999998E-2</v>
      </c>
      <c r="S14" s="1171"/>
      <c r="T14" s="1168"/>
      <c r="U14" s="1169"/>
      <c r="V14" s="1170">
        <v>9.0999999999999998E-2</v>
      </c>
      <c r="W14" s="1171"/>
      <c r="X14" s="1168"/>
      <c r="Y14" s="1169"/>
      <c r="Z14" s="1170">
        <v>9.0999999999999998E-2</v>
      </c>
      <c r="AA14" s="1171"/>
      <c r="AB14" s="1168"/>
      <c r="AC14" s="1169"/>
      <c r="AD14" s="1170">
        <v>9.0999999999999998E-2</v>
      </c>
      <c r="AE14" s="1171"/>
      <c r="AF14" s="1168"/>
      <c r="AG14" s="1169"/>
      <c r="AH14" s="1170">
        <v>9.0999999999999998E-2</v>
      </c>
      <c r="AI14" s="1171"/>
      <c r="AJ14" s="1168"/>
      <c r="AK14" s="1169"/>
      <c r="AL14" s="1170">
        <v>9.0999999999999998E-2</v>
      </c>
      <c r="AM14" s="1171"/>
      <c r="AN14" s="1168"/>
      <c r="AO14" s="1169"/>
      <c r="AP14" s="1170">
        <v>9.0999999999999998E-2</v>
      </c>
      <c r="AQ14" s="1171"/>
      <c r="AR14" s="1168"/>
      <c r="AS14" s="1169"/>
      <c r="AT14" s="1170">
        <v>9.0999999999999998E-2</v>
      </c>
      <c r="AU14" s="1171"/>
      <c r="AV14" s="1168"/>
      <c r="AW14" s="1169"/>
      <c r="AX14" s="1170">
        <v>9.0999999999999998E-2</v>
      </c>
      <c r="AY14" s="1171"/>
      <c r="AZ14" s="998"/>
      <c r="BA14" s="998"/>
      <c r="BB14" s="1170">
        <v>9.0999999999999998E-2</v>
      </c>
      <c r="BC14" s="1179"/>
      <c r="BD14" s="262">
        <f t="shared" si="0"/>
        <v>0.27300000000000002</v>
      </c>
      <c r="BE14" s="71">
        <f t="shared" si="1"/>
        <v>1.0009999999999999</v>
      </c>
      <c r="BF14" s="47">
        <f t="shared" si="2"/>
        <v>0.27272727272727276</v>
      </c>
      <c r="BG14" s="271">
        <f t="shared" si="3"/>
        <v>2.7272727272727278E-2</v>
      </c>
      <c r="BH14" s="125">
        <f t="shared" si="4"/>
        <v>0.1</v>
      </c>
      <c r="BI14" s="279">
        <f t="shared" si="5"/>
        <v>1.8181818181818184E-2</v>
      </c>
    </row>
    <row r="15" spans="1:61" ht="57" x14ac:dyDescent="0.2">
      <c r="A15" s="1172"/>
      <c r="B15" s="1033"/>
      <c r="C15" s="94" t="s">
        <v>228</v>
      </c>
      <c r="D15" s="96" t="s">
        <v>229</v>
      </c>
      <c r="E15" s="93" t="s">
        <v>230</v>
      </c>
      <c r="F15" s="79">
        <v>0.1</v>
      </c>
      <c r="G15" s="120" t="s">
        <v>231</v>
      </c>
      <c r="H15" s="1180">
        <v>0</v>
      </c>
      <c r="I15" s="1154"/>
      <c r="J15" s="1155">
        <v>8.3299999999999999E-2</v>
      </c>
      <c r="K15" s="1156"/>
      <c r="L15" s="1164">
        <v>8.3299999999999999E-2</v>
      </c>
      <c r="M15" s="1165"/>
      <c r="N15" s="1155">
        <v>8.3299999999999999E-2</v>
      </c>
      <c r="O15" s="1156"/>
      <c r="P15" s="1166">
        <v>8.3299999999999999E-2</v>
      </c>
      <c r="Q15" s="1167"/>
      <c r="R15" s="1155">
        <v>8.3299999999999999E-2</v>
      </c>
      <c r="S15" s="1156"/>
      <c r="T15" s="1153"/>
      <c r="U15" s="1154"/>
      <c r="V15" s="1155">
        <v>8.3299999999999999E-2</v>
      </c>
      <c r="W15" s="1156"/>
      <c r="X15" s="1153"/>
      <c r="Y15" s="1154"/>
      <c r="Z15" s="1155">
        <v>8.3299999999999999E-2</v>
      </c>
      <c r="AA15" s="1156"/>
      <c r="AB15" s="1153"/>
      <c r="AC15" s="1154"/>
      <c r="AD15" s="1155">
        <v>8.3299999999999999E-2</v>
      </c>
      <c r="AE15" s="1156"/>
      <c r="AF15" s="1153"/>
      <c r="AG15" s="1154"/>
      <c r="AH15" s="1155">
        <v>8.3299999999999999E-2</v>
      </c>
      <c r="AI15" s="1156"/>
      <c r="AJ15" s="1153"/>
      <c r="AK15" s="1154"/>
      <c r="AL15" s="1155">
        <v>8.3299999999999999E-2</v>
      </c>
      <c r="AM15" s="1156"/>
      <c r="AN15" s="1153"/>
      <c r="AO15" s="1154"/>
      <c r="AP15" s="1155">
        <v>8.3299999999999999E-2</v>
      </c>
      <c r="AQ15" s="1156"/>
      <c r="AR15" s="1153"/>
      <c r="AS15" s="1154"/>
      <c r="AT15" s="1155">
        <v>8.3299999999999999E-2</v>
      </c>
      <c r="AU15" s="1156"/>
      <c r="AV15" s="1153"/>
      <c r="AW15" s="1154"/>
      <c r="AX15" s="1155">
        <v>8.3299999999999999E-2</v>
      </c>
      <c r="AY15" s="1156"/>
      <c r="AZ15" s="998"/>
      <c r="BA15" s="998"/>
      <c r="BB15" s="1155">
        <v>8.3699999999999997E-2</v>
      </c>
      <c r="BC15" s="1157"/>
      <c r="BD15" s="123">
        <f t="shared" si="0"/>
        <v>0.1666</v>
      </c>
      <c r="BE15" s="71">
        <f t="shared" si="1"/>
        <v>1</v>
      </c>
      <c r="BF15" s="47">
        <f t="shared" si="2"/>
        <v>0.1666</v>
      </c>
      <c r="BG15" s="271">
        <f t="shared" si="3"/>
        <v>1.6660000000000001E-2</v>
      </c>
      <c r="BH15" s="125">
        <f t="shared" si="4"/>
        <v>0.1</v>
      </c>
      <c r="BI15" s="279">
        <f t="shared" si="5"/>
        <v>2.4990000000000002E-2</v>
      </c>
    </row>
    <row r="16" spans="1:61" ht="42.75" x14ac:dyDescent="0.2">
      <c r="A16" s="1172"/>
      <c r="B16" s="1033"/>
      <c r="C16" s="94" t="s">
        <v>232</v>
      </c>
      <c r="D16" s="93" t="s">
        <v>233</v>
      </c>
      <c r="E16" s="93" t="s">
        <v>234</v>
      </c>
      <c r="F16" s="101">
        <v>0.1</v>
      </c>
      <c r="G16" s="120" t="s">
        <v>235</v>
      </c>
      <c r="H16" s="1160"/>
      <c r="I16" s="1151"/>
      <c r="J16" s="1150"/>
      <c r="K16" s="1151"/>
      <c r="L16" s="1161">
        <v>1</v>
      </c>
      <c r="M16" s="1162"/>
      <c r="N16" s="1150"/>
      <c r="O16" s="1151"/>
      <c r="P16" s="1161">
        <v>1</v>
      </c>
      <c r="Q16" s="1162"/>
      <c r="R16" s="1163">
        <v>1</v>
      </c>
      <c r="S16" s="1156"/>
      <c r="T16" s="1150"/>
      <c r="U16" s="1151"/>
      <c r="V16" s="1150"/>
      <c r="W16" s="1151"/>
      <c r="X16" s="1150"/>
      <c r="Y16" s="1151"/>
      <c r="Z16" s="1150"/>
      <c r="AA16" s="1151"/>
      <c r="AB16" s="1150"/>
      <c r="AC16" s="1151"/>
      <c r="AD16" s="1150"/>
      <c r="AE16" s="1151"/>
      <c r="AF16" s="1150"/>
      <c r="AG16" s="1151"/>
      <c r="AH16" s="1150"/>
      <c r="AI16" s="1151"/>
      <c r="AJ16" s="1150"/>
      <c r="AK16" s="1151"/>
      <c r="AL16" s="1150"/>
      <c r="AM16" s="1151"/>
      <c r="AN16" s="1150"/>
      <c r="AO16" s="1151"/>
      <c r="AP16" s="1163">
        <v>1</v>
      </c>
      <c r="AQ16" s="1156"/>
      <c r="AR16" s="1150"/>
      <c r="AS16" s="1151"/>
      <c r="AT16" s="1150"/>
      <c r="AU16" s="1151"/>
      <c r="AV16" s="1150"/>
      <c r="AW16" s="1151"/>
      <c r="AX16" s="1150"/>
      <c r="AY16" s="1151"/>
      <c r="AZ16" s="998"/>
      <c r="BA16" s="998"/>
      <c r="BB16" s="1150"/>
      <c r="BC16" s="1152"/>
      <c r="BD16" s="123">
        <f t="shared" si="0"/>
        <v>2</v>
      </c>
      <c r="BE16" s="70">
        <f t="shared" si="1"/>
        <v>2</v>
      </c>
      <c r="BF16" s="47">
        <f t="shared" si="2"/>
        <v>1</v>
      </c>
      <c r="BG16" s="271">
        <f t="shared" si="3"/>
        <v>0.1</v>
      </c>
      <c r="BH16" s="125">
        <f t="shared" si="4"/>
        <v>0.1</v>
      </c>
      <c r="BI16" s="279">
        <f t="shared" si="5"/>
        <v>0.05</v>
      </c>
    </row>
    <row r="17" spans="1:61" ht="57.75" thickBot="1" x14ac:dyDescent="0.25">
      <c r="A17" s="115" t="s">
        <v>236</v>
      </c>
      <c r="B17" s="116">
        <v>0.05</v>
      </c>
      <c r="C17" s="98" t="s">
        <v>237</v>
      </c>
      <c r="D17" s="98" t="s">
        <v>238</v>
      </c>
      <c r="E17" s="98" t="s">
        <v>239</v>
      </c>
      <c r="F17" s="84">
        <v>0.05</v>
      </c>
      <c r="G17" s="121" t="s">
        <v>240</v>
      </c>
      <c r="H17" s="1183">
        <v>8.3299999999999999E-2</v>
      </c>
      <c r="I17" s="1159"/>
      <c r="J17" s="1143">
        <v>8.3299999999999999E-2</v>
      </c>
      <c r="K17" s="1144"/>
      <c r="L17" s="1184">
        <v>8.3299999999999999E-2</v>
      </c>
      <c r="M17" s="1185"/>
      <c r="N17" s="1143">
        <v>8.3299999999999999E-2</v>
      </c>
      <c r="O17" s="1144"/>
      <c r="P17" s="1158">
        <v>8.3299999999999999E-2</v>
      </c>
      <c r="Q17" s="1159"/>
      <c r="R17" s="1143">
        <v>8.3299999999999999E-2</v>
      </c>
      <c r="S17" s="1144"/>
      <c r="T17" s="1148"/>
      <c r="U17" s="1149"/>
      <c r="V17" s="1143">
        <v>8.3299999999999999E-2</v>
      </c>
      <c r="W17" s="1144"/>
      <c r="X17" s="1148"/>
      <c r="Y17" s="1149"/>
      <c r="Z17" s="1143">
        <v>8.3299999999999999E-2</v>
      </c>
      <c r="AA17" s="1144"/>
      <c r="AB17" s="1148"/>
      <c r="AC17" s="1149"/>
      <c r="AD17" s="1143">
        <v>8.3299999999999999E-2</v>
      </c>
      <c r="AE17" s="1144"/>
      <c r="AF17" s="1148"/>
      <c r="AG17" s="1149"/>
      <c r="AH17" s="1143">
        <v>8.3299999999999999E-2</v>
      </c>
      <c r="AI17" s="1144"/>
      <c r="AJ17" s="1148"/>
      <c r="AK17" s="1149"/>
      <c r="AL17" s="1143">
        <v>8.3299999999999999E-2</v>
      </c>
      <c r="AM17" s="1144"/>
      <c r="AN17" s="1148"/>
      <c r="AO17" s="1149"/>
      <c r="AP17" s="1143">
        <v>8.3299999999999999E-2</v>
      </c>
      <c r="AQ17" s="1144"/>
      <c r="AR17" s="1148"/>
      <c r="AS17" s="1149"/>
      <c r="AT17" s="1143">
        <v>8.3299999999999999E-2</v>
      </c>
      <c r="AU17" s="1144"/>
      <c r="AV17" s="1148"/>
      <c r="AW17" s="1149"/>
      <c r="AX17" s="1143">
        <v>8.3299999999999999E-2</v>
      </c>
      <c r="AY17" s="1144"/>
      <c r="AZ17" s="1145"/>
      <c r="BA17" s="1146"/>
      <c r="BB17" s="1143">
        <v>8.3699999999999997E-2</v>
      </c>
      <c r="BC17" s="1147"/>
      <c r="BD17" s="262">
        <f t="shared" si="0"/>
        <v>0.24990000000000001</v>
      </c>
      <c r="BE17" s="126">
        <f t="shared" si="1"/>
        <v>1</v>
      </c>
      <c r="BF17" s="127">
        <f t="shared" si="2"/>
        <v>0.24990000000000001</v>
      </c>
      <c r="BG17" s="277">
        <f t="shared" si="3"/>
        <v>1.2495000000000001E-2</v>
      </c>
      <c r="BH17" s="128">
        <f t="shared" si="4"/>
        <v>0.05</v>
      </c>
      <c r="BI17" s="279">
        <f t="shared" si="5"/>
        <v>1.2495000000000001E-2</v>
      </c>
    </row>
    <row r="18" spans="1:61" s="104" customFormat="1" ht="1.5" customHeight="1" x14ac:dyDescent="0.2">
      <c r="B18" s="105"/>
      <c r="C18" s="106"/>
      <c r="E18" s="107"/>
      <c r="F18" s="108"/>
      <c r="G18" s="108"/>
      <c r="H18" s="107"/>
      <c r="BG18" s="278"/>
      <c r="BI18" s="279" t="e">
        <f t="shared" ref="BI18" si="6">(J18/BE18)*BH18</f>
        <v>#DIV/0!</v>
      </c>
    </row>
    <row r="19" spans="1:61" ht="32.25" customHeight="1" x14ac:dyDescent="0.2">
      <c r="A19" s="109"/>
      <c r="B19" s="110"/>
      <c r="C19" s="104"/>
      <c r="D19" s="109"/>
      <c r="E19" s="111"/>
      <c r="F19" s="112"/>
      <c r="G19" s="112"/>
      <c r="H19" s="111"/>
      <c r="I19" s="109"/>
      <c r="BG19" s="259">
        <f>SUM(BG5:BG18)</f>
        <v>0.34389772727272733</v>
      </c>
      <c r="BI19" s="280">
        <f>SUM(BI5:BI17)</f>
        <v>0.26813681818181817</v>
      </c>
    </row>
    <row r="20" spans="1:61" x14ac:dyDescent="0.2">
      <c r="BF20" s="27" t="s">
        <v>836</v>
      </c>
    </row>
    <row r="21" spans="1:61" ht="25.5" x14ac:dyDescent="0.2">
      <c r="C21" s="876" t="s">
        <v>71</v>
      </c>
      <c r="D21" s="877" t="s">
        <v>73</v>
      </c>
      <c r="E21" s="877" t="s">
        <v>72</v>
      </c>
      <c r="BF21" s="336" t="s">
        <v>830</v>
      </c>
      <c r="BG21" s="337"/>
    </row>
    <row r="22" spans="1:61" ht="51" x14ac:dyDescent="0.2">
      <c r="C22" s="25" t="str">
        <f t="shared" ref="C22:D24" si="7">A5</f>
        <v xml:space="preserve">1.  Actualizar de manera participativa con los procesos del SIGOS el normograma insitucional, permitiendo el conocimiento oportuno de las normas vigentes aplicables al sector solidario y a la Entidad. </v>
      </c>
      <c r="D22" s="86">
        <f t="shared" si="7"/>
        <v>0.1</v>
      </c>
      <c r="E22" s="26">
        <f>BG5</f>
        <v>2.5000000000000001E-2</v>
      </c>
      <c r="BF22" s="336" t="s">
        <v>831</v>
      </c>
      <c r="BG22" s="337"/>
    </row>
    <row r="23" spans="1:61" ht="38.25" x14ac:dyDescent="0.2">
      <c r="C23" s="25" t="str">
        <f t="shared" si="7"/>
        <v>2. Atender los derechos de petición y consultas  jurídicas internas y externas, que sean puestas en conocimiento de la oficina, de acuerdo con la competencia.</v>
      </c>
      <c r="D23" s="86">
        <f t="shared" si="7"/>
        <v>0.1</v>
      </c>
      <c r="E23" s="26">
        <f>BG6</f>
        <v>2.4990000000000002E-2</v>
      </c>
      <c r="BF23" s="336" t="s">
        <v>832</v>
      </c>
      <c r="BG23" s="337"/>
    </row>
    <row r="24" spans="1:61" ht="38.25" x14ac:dyDescent="0.2">
      <c r="C24" s="25" t="str">
        <f t="shared" si="7"/>
        <v>3.  Atender las solicitudes de revisión de actos administrativos internos en los aspectos que implican su estructura y normatividad contentiva.</v>
      </c>
      <c r="D24" s="86">
        <f t="shared" si="7"/>
        <v>0.1</v>
      </c>
      <c r="E24" s="26">
        <f>BG7+BG8</f>
        <v>2.4990000000000002E-2</v>
      </c>
      <c r="BF24" s="336" t="s">
        <v>833</v>
      </c>
      <c r="BG24" s="337"/>
    </row>
    <row r="25" spans="1:61" ht="25.5" x14ac:dyDescent="0.2">
      <c r="C25" s="25" t="str">
        <f>A9</f>
        <v>4. Atender los procesos judiciales en los que la Entidad sea parte, en ejercicio de la defensa de sus intereses.</v>
      </c>
      <c r="D25" s="86">
        <f>B9</f>
        <v>0.25</v>
      </c>
      <c r="E25" s="26">
        <f>BG9+BG10+BG11+BG12</f>
        <v>6.2490000000000004E-2</v>
      </c>
    </row>
    <row r="26" spans="1:61" ht="25.5" x14ac:dyDescent="0.2">
      <c r="C26" s="25" t="str">
        <f>A13</f>
        <v>5. Realizar  jornadas de capacitación a  los servidores publicos sobre temas jurídicos.</v>
      </c>
      <c r="D26" s="86">
        <f>B13</f>
        <v>0.1</v>
      </c>
      <c r="E26" s="26">
        <f>BG13</f>
        <v>0.05</v>
      </c>
    </row>
    <row r="27" spans="1:61" ht="51" x14ac:dyDescent="0.2">
      <c r="C27" s="25" t="str">
        <f>A14</f>
        <v>6. Prestar asistencia y asesoría jurídica en el desarrollo de los procesos que las áreas y grupos de trabajo soliciten, en ejecución del Plan de Compras (inversión y fucnionamiento) de la Unidad Administrativa Especial de Organizaciones Solidarias.</v>
      </c>
      <c r="D27" s="86">
        <f>B14</f>
        <v>0.3</v>
      </c>
      <c r="E27" s="26">
        <f>BG14+BG15+BG16</f>
        <v>0.14393272727272727</v>
      </c>
    </row>
    <row r="28" spans="1:61" ht="38.25" x14ac:dyDescent="0.2">
      <c r="C28" s="25" t="str">
        <f>A17</f>
        <v>7. Apoyar el desarrollo de las actividades necesarias para la implementación de los criterios del Gobierno en Línea en la Unidad Administrativa Especial de Organizaciones Solidarias</v>
      </c>
      <c r="D28" s="86">
        <f>B17</f>
        <v>0.05</v>
      </c>
      <c r="E28" s="26">
        <f>BG17</f>
        <v>1.2495000000000001E-2</v>
      </c>
    </row>
    <row r="29" spans="1:61" x14ac:dyDescent="0.2">
      <c r="C29" s="878" t="s">
        <v>66</v>
      </c>
      <c r="D29" s="879">
        <f>SUM(D22:D28)</f>
        <v>1</v>
      </c>
      <c r="E29" s="879">
        <f>SUM(E22:E28)</f>
        <v>0.34389772727272727</v>
      </c>
    </row>
    <row r="38" spans="3:5" ht="25.5" x14ac:dyDescent="0.2">
      <c r="C38" s="876" t="s">
        <v>71</v>
      </c>
      <c r="D38" s="877" t="s">
        <v>73</v>
      </c>
      <c r="E38" s="877" t="s">
        <v>72</v>
      </c>
    </row>
    <row r="39" spans="3:5" ht="51" x14ac:dyDescent="0.2">
      <c r="C39" s="25" t="str">
        <f>C22</f>
        <v xml:space="preserve">1.  Actualizar de manera participativa con los procesos del SIGOS el normograma insitucional, permitiendo el conocimiento oportuno de las normas vigentes aplicables al sector solidario y a la Entidad. </v>
      </c>
      <c r="D39" s="269">
        <f>BI5</f>
        <v>2.5000000000000001E-2</v>
      </c>
      <c r="E39" s="26">
        <f>E22</f>
        <v>2.5000000000000001E-2</v>
      </c>
    </row>
    <row r="40" spans="3:5" ht="38.25" x14ac:dyDescent="0.2">
      <c r="C40" s="25" t="str">
        <f t="shared" ref="C40:C45" si="8">C23</f>
        <v>2. Atender los derechos de petición y consultas  jurídicas internas y externas, que sean puestas en conocimiento de la oficina, de acuerdo con la competencia.</v>
      </c>
      <c r="D40" s="269">
        <f>BI6</f>
        <v>2.4990000000000002E-2</v>
      </c>
      <c r="E40" s="26">
        <f t="shared" ref="E40:E45" si="9">E23</f>
        <v>2.4990000000000002E-2</v>
      </c>
    </row>
    <row r="41" spans="3:5" ht="38.25" x14ac:dyDescent="0.2">
      <c r="C41" s="25" t="str">
        <f t="shared" si="8"/>
        <v>3.  Atender las solicitudes de revisión de actos administrativos internos en los aspectos que implican su estructura y normatividad contentiva.</v>
      </c>
      <c r="D41" s="269">
        <f>BI7+BI8</f>
        <v>2.4990000000000002E-2</v>
      </c>
      <c r="E41" s="26">
        <f t="shared" si="9"/>
        <v>2.4990000000000002E-2</v>
      </c>
    </row>
    <row r="42" spans="3:5" ht="25.5" x14ac:dyDescent="0.2">
      <c r="C42" s="25" t="str">
        <f t="shared" si="8"/>
        <v>4. Atender los procesos judiciales en los que la Entidad sea parte, en ejercicio de la defensa de sus intereses.</v>
      </c>
      <c r="D42" s="269">
        <f>BI9+BI10+BI11+BI12</f>
        <v>6.2490000000000004E-2</v>
      </c>
      <c r="E42" s="26">
        <f t="shared" si="9"/>
        <v>6.2490000000000004E-2</v>
      </c>
    </row>
    <row r="43" spans="3:5" ht="25.5" x14ac:dyDescent="0.2">
      <c r="C43" s="25" t="str">
        <f t="shared" si="8"/>
        <v>5. Realizar  jornadas de capacitación a  los servidores publicos sobre temas jurídicos.</v>
      </c>
      <c r="D43" s="269">
        <f>BI13</f>
        <v>2.5000000000000001E-2</v>
      </c>
      <c r="E43" s="26">
        <f t="shared" si="9"/>
        <v>0.05</v>
      </c>
    </row>
    <row r="44" spans="3:5" ht="51" x14ac:dyDescent="0.2">
      <c r="C44" s="25" t="str">
        <f t="shared" si="8"/>
        <v>6. Prestar asistencia y asesoría jurídica en el desarrollo de los procesos que las áreas y grupos de trabajo soliciten, en ejecución del Plan de Compras (inversión y fucnionamiento) de la Unidad Administrativa Especial de Organizaciones Solidarias.</v>
      </c>
      <c r="D44" s="269">
        <f>BI14+BI15+BI16</f>
        <v>9.3171818181818189E-2</v>
      </c>
      <c r="E44" s="26">
        <f t="shared" si="9"/>
        <v>0.14393272727272727</v>
      </c>
    </row>
    <row r="45" spans="3:5" ht="38.25" x14ac:dyDescent="0.2">
      <c r="C45" s="25" t="str">
        <f t="shared" si="8"/>
        <v>7. Apoyar el desarrollo de las actividades necesarias para la implementación de los criterios del Gobierno en Línea en la Unidad Administrativa Especial de Organizaciones Solidarias</v>
      </c>
      <c r="D45" s="269">
        <f>BI17</f>
        <v>1.2495000000000001E-2</v>
      </c>
      <c r="E45" s="26">
        <f t="shared" si="9"/>
        <v>1.2495000000000001E-2</v>
      </c>
    </row>
    <row r="46" spans="3:5" ht="21" customHeight="1" x14ac:dyDescent="0.2">
      <c r="C46" s="878" t="s">
        <v>66</v>
      </c>
      <c r="D46" s="883">
        <f>SUM(D39:D45)</f>
        <v>0.26813681818181817</v>
      </c>
      <c r="E46" s="883">
        <f>SUM(E39:E45)</f>
        <v>0.34389772727272727</v>
      </c>
    </row>
  </sheetData>
  <mergeCells count="368">
    <mergeCell ref="AL5:AM5"/>
    <mergeCell ref="AN5:AO5"/>
    <mergeCell ref="AP5:AQ5"/>
    <mergeCell ref="Z5:AA5"/>
    <mergeCell ref="AB5:AC5"/>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BB4:BC4"/>
    <mergeCell ref="A7:A8"/>
    <mergeCell ref="B7:B8"/>
    <mergeCell ref="H7:I7"/>
    <mergeCell ref="J7:K7"/>
    <mergeCell ref="A3:A4"/>
    <mergeCell ref="B3:B4"/>
    <mergeCell ref="H6:I6"/>
    <mergeCell ref="J6:K6"/>
    <mergeCell ref="L6:M6"/>
    <mergeCell ref="H5:I5"/>
    <mergeCell ref="J5:K5"/>
    <mergeCell ref="L5:M5"/>
    <mergeCell ref="L7:M7"/>
    <mergeCell ref="AR4:AS4"/>
    <mergeCell ref="AT4:AU4"/>
    <mergeCell ref="AV4:AW4"/>
    <mergeCell ref="AX4:AY4"/>
    <mergeCell ref="AZ4:BA4"/>
    <mergeCell ref="G3:G4"/>
    <mergeCell ref="C3:C4"/>
    <mergeCell ref="D3:D4"/>
    <mergeCell ref="E3:E4"/>
    <mergeCell ref="F3:F4"/>
    <mergeCell ref="AP4:AQ4"/>
    <mergeCell ref="T4:U4"/>
    <mergeCell ref="V4:W4"/>
    <mergeCell ref="X4:Y4"/>
    <mergeCell ref="Z4:AA4"/>
    <mergeCell ref="AB4:AC4"/>
    <mergeCell ref="AD4:AE4"/>
    <mergeCell ref="AF4:AG4"/>
    <mergeCell ref="AH4:AI4"/>
    <mergeCell ref="AJ4:AK4"/>
    <mergeCell ref="AL4:AM4"/>
    <mergeCell ref="AN4:AO4"/>
    <mergeCell ref="AF5:AG5"/>
    <mergeCell ref="AH5:AI5"/>
    <mergeCell ref="AJ5:AK5"/>
    <mergeCell ref="N5:O5"/>
    <mergeCell ref="P5:Q5"/>
    <mergeCell ref="R5:S5"/>
    <mergeCell ref="T5:U5"/>
    <mergeCell ref="V5:W5"/>
    <mergeCell ref="X5:Y5"/>
    <mergeCell ref="T6:U6"/>
    <mergeCell ref="V6:W6"/>
    <mergeCell ref="X6:Y6"/>
    <mergeCell ref="Z6:AA6"/>
    <mergeCell ref="AB6:AC6"/>
    <mergeCell ref="AD6:AE6"/>
    <mergeCell ref="AD5:AE5"/>
    <mergeCell ref="N6:O6"/>
    <mergeCell ref="P6:Q6"/>
    <mergeCell ref="R6:S6"/>
    <mergeCell ref="AX5:AY5"/>
    <mergeCell ref="AZ5:BA5"/>
    <mergeCell ref="BB5:BC5"/>
    <mergeCell ref="AR5:AS5"/>
    <mergeCell ref="AT5:AU5"/>
    <mergeCell ref="AV5:AW5"/>
    <mergeCell ref="AR6:AS6"/>
    <mergeCell ref="AT6:AU6"/>
    <mergeCell ref="AV6:AW6"/>
    <mergeCell ref="AX6:AY6"/>
    <mergeCell ref="AZ6:BA6"/>
    <mergeCell ref="BB6:BC6"/>
    <mergeCell ref="AF6:AG6"/>
    <mergeCell ref="AH6:AI6"/>
    <mergeCell ref="AJ6:AK6"/>
    <mergeCell ref="AL6:AM6"/>
    <mergeCell ref="AN6:AO6"/>
    <mergeCell ref="AP6:AQ6"/>
    <mergeCell ref="BB7:BC7"/>
    <mergeCell ref="H8:I8"/>
    <mergeCell ref="J8:K8"/>
    <mergeCell ref="L8:M8"/>
    <mergeCell ref="N8:O8"/>
    <mergeCell ref="P8:Q8"/>
    <mergeCell ref="R8:S8"/>
    <mergeCell ref="AJ7:AK7"/>
    <mergeCell ref="AL7:AM7"/>
    <mergeCell ref="AN7:AO7"/>
    <mergeCell ref="AP7:AQ7"/>
    <mergeCell ref="AR7:AS7"/>
    <mergeCell ref="AT7:AU7"/>
    <mergeCell ref="X7:Y7"/>
    <mergeCell ref="Z7:AA7"/>
    <mergeCell ref="AB7:AC7"/>
    <mergeCell ref="AD7:AE7"/>
    <mergeCell ref="AF7:AG7"/>
    <mergeCell ref="N7:O7"/>
    <mergeCell ref="P7:Q7"/>
    <mergeCell ref="R7:S7"/>
    <mergeCell ref="T7:U7"/>
    <mergeCell ref="T8:U8"/>
    <mergeCell ref="V8:W8"/>
    <mergeCell ref="X8:Y8"/>
    <mergeCell ref="Z8:AA8"/>
    <mergeCell ref="AV7:AW7"/>
    <mergeCell ref="AX7:AY7"/>
    <mergeCell ref="AZ7:BA7"/>
    <mergeCell ref="V7:W7"/>
    <mergeCell ref="AR8:AS8"/>
    <mergeCell ref="AT8:AU8"/>
    <mergeCell ref="AV8:AW8"/>
    <mergeCell ref="AX8:AY8"/>
    <mergeCell ref="AZ8:BA8"/>
    <mergeCell ref="AH7:AI7"/>
    <mergeCell ref="AB8:AC8"/>
    <mergeCell ref="AD8:AE8"/>
    <mergeCell ref="BB8:BC8"/>
    <mergeCell ref="AF8:AG8"/>
    <mergeCell ref="AH8:AI8"/>
    <mergeCell ref="AJ8:AK8"/>
    <mergeCell ref="AL8:AM8"/>
    <mergeCell ref="AN8:AO8"/>
    <mergeCell ref="AP8:AQ8"/>
    <mergeCell ref="R9:S9"/>
    <mergeCell ref="T9:U9"/>
    <mergeCell ref="V9:W9"/>
    <mergeCell ref="X9:Y9"/>
    <mergeCell ref="Z9:AA9"/>
    <mergeCell ref="A9:A12"/>
    <mergeCell ref="B9:B12"/>
    <mergeCell ref="H9:I9"/>
    <mergeCell ref="J9:K9"/>
    <mergeCell ref="L9:M9"/>
    <mergeCell ref="N9:O9"/>
    <mergeCell ref="N10:O10"/>
    <mergeCell ref="T10:U10"/>
    <mergeCell ref="V10:W10"/>
    <mergeCell ref="H11:I11"/>
    <mergeCell ref="J11:K11"/>
    <mergeCell ref="L11:M11"/>
    <mergeCell ref="N11:O11"/>
    <mergeCell ref="P11:Q11"/>
    <mergeCell ref="R11:S11"/>
    <mergeCell ref="T11:U11"/>
    <mergeCell ref="V11:W11"/>
    <mergeCell ref="P10:Q10"/>
    <mergeCell ref="R10:S10"/>
    <mergeCell ref="X10:Y10"/>
    <mergeCell ref="Z10:AA10"/>
    <mergeCell ref="AZ9:BA9"/>
    <mergeCell ref="BB9:BC9"/>
    <mergeCell ref="C10:C11"/>
    <mergeCell ref="G10:G11"/>
    <mergeCell ref="H10:I10"/>
    <mergeCell ref="J10:K10"/>
    <mergeCell ref="L10:M10"/>
    <mergeCell ref="AN9:AO9"/>
    <mergeCell ref="AP9:AQ9"/>
    <mergeCell ref="AR9:AS9"/>
    <mergeCell ref="AT9:AU9"/>
    <mergeCell ref="AV9:AW9"/>
    <mergeCell ref="AX9:AY9"/>
    <mergeCell ref="AB9:AC9"/>
    <mergeCell ref="AD9:AE9"/>
    <mergeCell ref="AF9:AG9"/>
    <mergeCell ref="AH9:AI9"/>
    <mergeCell ref="AJ9:AK9"/>
    <mergeCell ref="AL9:AM9"/>
    <mergeCell ref="P9:Q9"/>
    <mergeCell ref="AZ10:BA10"/>
    <mergeCell ref="BB10:BC10"/>
    <mergeCell ref="AN10:AO10"/>
    <mergeCell ref="AP10:AQ10"/>
    <mergeCell ref="AR10:AS10"/>
    <mergeCell ref="AT10:AU10"/>
    <mergeCell ref="AV10:AW10"/>
    <mergeCell ref="AX10:AY10"/>
    <mergeCell ref="AB10:AC10"/>
    <mergeCell ref="AD10:AE10"/>
    <mergeCell ref="AF10:AG10"/>
    <mergeCell ref="AH10:AI10"/>
    <mergeCell ref="AJ10:AK10"/>
    <mergeCell ref="AL10:AM10"/>
    <mergeCell ref="AV11:AW11"/>
    <mergeCell ref="AX11:AY11"/>
    <mergeCell ref="AZ11:BA11"/>
    <mergeCell ref="BB11:BC11"/>
    <mergeCell ref="H12:I12"/>
    <mergeCell ref="J12:K12"/>
    <mergeCell ref="L12:M12"/>
    <mergeCell ref="N12:O12"/>
    <mergeCell ref="P12:Q12"/>
    <mergeCell ref="R12:S12"/>
    <mergeCell ref="AJ11:AK11"/>
    <mergeCell ref="AL11:AM11"/>
    <mergeCell ref="AN11:AO11"/>
    <mergeCell ref="AP11:AQ11"/>
    <mergeCell ref="AR11:AS11"/>
    <mergeCell ref="AT11:AU11"/>
    <mergeCell ref="X11:Y11"/>
    <mergeCell ref="Z11:AA11"/>
    <mergeCell ref="AB11:AC11"/>
    <mergeCell ref="AD11:AE11"/>
    <mergeCell ref="AF11:AG11"/>
    <mergeCell ref="AH11:AI11"/>
    <mergeCell ref="H17:I17"/>
    <mergeCell ref="J17:K17"/>
    <mergeCell ref="L17:M17"/>
    <mergeCell ref="AR12:AS12"/>
    <mergeCell ref="AT12:AU12"/>
    <mergeCell ref="AV12:AW12"/>
    <mergeCell ref="AX12:AY12"/>
    <mergeCell ref="AZ12:BA12"/>
    <mergeCell ref="BB12:BC12"/>
    <mergeCell ref="AF12:AG12"/>
    <mergeCell ref="AH12:AI12"/>
    <mergeCell ref="AJ12:AK12"/>
    <mergeCell ref="AL12:AM12"/>
    <mergeCell ref="AN12:AO12"/>
    <mergeCell ref="AP12:AQ12"/>
    <mergeCell ref="T12:U12"/>
    <mergeCell ref="V12:W12"/>
    <mergeCell ref="X12:Y12"/>
    <mergeCell ref="Z12:AA12"/>
    <mergeCell ref="AB12:AC12"/>
    <mergeCell ref="AD12:AE12"/>
    <mergeCell ref="AJ13:AK13"/>
    <mergeCell ref="N13:O13"/>
    <mergeCell ref="P13:Q13"/>
    <mergeCell ref="AZ14:BA14"/>
    <mergeCell ref="BB14:BC14"/>
    <mergeCell ref="H15:I15"/>
    <mergeCell ref="R13:S13"/>
    <mergeCell ref="T13:U13"/>
    <mergeCell ref="V13:W13"/>
    <mergeCell ref="X13:Y13"/>
    <mergeCell ref="H13:I13"/>
    <mergeCell ref="J13:K13"/>
    <mergeCell ref="L13:M13"/>
    <mergeCell ref="T14:U14"/>
    <mergeCell ref="V14:W14"/>
    <mergeCell ref="X14:Y14"/>
    <mergeCell ref="P14:Q14"/>
    <mergeCell ref="R14:S14"/>
    <mergeCell ref="AP15:AQ15"/>
    <mergeCell ref="Z14:AA14"/>
    <mergeCell ref="AX13:AY13"/>
    <mergeCell ref="AZ13:BA13"/>
    <mergeCell ref="BB13:BC13"/>
    <mergeCell ref="AR13:AS13"/>
    <mergeCell ref="AT13:AU13"/>
    <mergeCell ref="AV13:AW13"/>
    <mergeCell ref="AT14:AU14"/>
    <mergeCell ref="A14:A16"/>
    <mergeCell ref="B14:B16"/>
    <mergeCell ref="H14:I14"/>
    <mergeCell ref="J14:K14"/>
    <mergeCell ref="L14:M14"/>
    <mergeCell ref="N14:O14"/>
    <mergeCell ref="AL13:AM13"/>
    <mergeCell ref="AN13:AO13"/>
    <mergeCell ref="AP13:AQ13"/>
    <mergeCell ref="Z13:AA13"/>
    <mergeCell ref="AB13:AC13"/>
    <mergeCell ref="AD13:AE13"/>
    <mergeCell ref="AF13:AG13"/>
    <mergeCell ref="AH13:AI13"/>
    <mergeCell ref="AN15:AO15"/>
    <mergeCell ref="AF16:AG16"/>
    <mergeCell ref="AH16:AI16"/>
    <mergeCell ref="AJ16:AK16"/>
    <mergeCell ref="AL16:AM16"/>
    <mergeCell ref="AN16:AO16"/>
    <mergeCell ref="AP16:AQ16"/>
    <mergeCell ref="T16:U16"/>
    <mergeCell ref="T15:U15"/>
    <mergeCell ref="V15:W15"/>
    <mergeCell ref="AV14:AW14"/>
    <mergeCell ref="AX14:AY14"/>
    <mergeCell ref="AB14:AC14"/>
    <mergeCell ref="AD14:AE14"/>
    <mergeCell ref="AF14:AG14"/>
    <mergeCell ref="AH14:AI14"/>
    <mergeCell ref="AJ14:AK14"/>
    <mergeCell ref="AL14:AM14"/>
    <mergeCell ref="AN14:AO14"/>
    <mergeCell ref="AP14:AQ14"/>
    <mergeCell ref="AR14:AS14"/>
    <mergeCell ref="AF15:AG15"/>
    <mergeCell ref="AH15:AI15"/>
    <mergeCell ref="H16:I16"/>
    <mergeCell ref="J16:K16"/>
    <mergeCell ref="L16:M16"/>
    <mergeCell ref="N16:O16"/>
    <mergeCell ref="P16:Q16"/>
    <mergeCell ref="R16:S16"/>
    <mergeCell ref="AJ15:AK15"/>
    <mergeCell ref="J15:K15"/>
    <mergeCell ref="L15:M15"/>
    <mergeCell ref="N15:O15"/>
    <mergeCell ref="P15:Q15"/>
    <mergeCell ref="R15:S15"/>
    <mergeCell ref="AH17:AI17"/>
    <mergeCell ref="AJ17:AK17"/>
    <mergeCell ref="N17:O17"/>
    <mergeCell ref="P17:Q17"/>
    <mergeCell ref="R17:S17"/>
    <mergeCell ref="T17:U17"/>
    <mergeCell ref="V17:W17"/>
    <mergeCell ref="X17:Y17"/>
    <mergeCell ref="BD3:BD4"/>
    <mergeCell ref="V16:W16"/>
    <mergeCell ref="X16:Y16"/>
    <mergeCell ref="Z16:AA16"/>
    <mergeCell ref="AB16:AC16"/>
    <mergeCell ref="AD16:AE16"/>
    <mergeCell ref="Z17:AA17"/>
    <mergeCell ref="AB17:AC17"/>
    <mergeCell ref="AD17:AE17"/>
    <mergeCell ref="AF17:AG17"/>
    <mergeCell ref="AR15:AS15"/>
    <mergeCell ref="AT15:AU15"/>
    <mergeCell ref="X15:Y15"/>
    <mergeCell ref="Z15:AA15"/>
    <mergeCell ref="AB15:AC15"/>
    <mergeCell ref="AD15:AE15"/>
    <mergeCell ref="BE3:BE4"/>
    <mergeCell ref="BF3:BF4"/>
    <mergeCell ref="BG3:BG4"/>
    <mergeCell ref="BH3:BH4"/>
    <mergeCell ref="AX17:AY17"/>
    <mergeCell ref="AZ17:BA17"/>
    <mergeCell ref="BB17:BC17"/>
    <mergeCell ref="AL17:AM17"/>
    <mergeCell ref="AN17:AO17"/>
    <mergeCell ref="AP17:AQ17"/>
    <mergeCell ref="AR17:AS17"/>
    <mergeCell ref="AT17:AU17"/>
    <mergeCell ref="AV17:AW17"/>
    <mergeCell ref="AR16:AS16"/>
    <mergeCell ref="AT16:AU16"/>
    <mergeCell ref="AV16:AW16"/>
    <mergeCell ref="AX16:AY16"/>
    <mergeCell ref="AZ16:BA16"/>
    <mergeCell ref="BB16:BC16"/>
    <mergeCell ref="AV15:AW15"/>
    <mergeCell ref="AX15:AY15"/>
    <mergeCell ref="AZ15:BA15"/>
    <mergeCell ref="BB15:BC15"/>
    <mergeCell ref="AL15:AM15"/>
  </mergeCells>
  <conditionalFormatting sqref="BF5:BF17">
    <cfRule type="cellIs" dxfId="152" priority="1" operator="between">
      <formula>"0.5"</formula>
      <formula>1</formula>
    </cfRule>
  </conditionalFormatting>
  <printOptions horizontalCentered="1" verticalCentered="1"/>
  <pageMargins left="0.35433070866141736" right="0.23622047244094491" top="0.35433070866141736" bottom="0.35433070866141736" header="0.31496062992125984" footer="0.19685039370078741"/>
  <pageSetup paperSize="41" scale="55" orientation="landscape"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topLeftCell="B16" zoomScale="60" zoomScaleNormal="60" zoomScaleSheetLayoutView="55" workbookViewId="0">
      <selection activeCell="C47" sqref="C47:E57"/>
    </sheetView>
  </sheetViews>
  <sheetFormatPr baseColWidth="10" defaultRowHeight="14.25" x14ac:dyDescent="0.2"/>
  <cols>
    <col min="1" max="1" width="34" style="27" customWidth="1"/>
    <col min="2" max="2" width="23" style="2" customWidth="1"/>
    <col min="3" max="3" width="49.42578125" style="27" customWidth="1"/>
    <col min="4" max="4" width="37.5703125" style="27" customWidth="1"/>
    <col min="5" max="5" width="39" style="27" customWidth="1"/>
    <col min="6" max="6" width="23.42578125" style="27" customWidth="1"/>
    <col min="7" max="7" width="17.28515625" style="134" customWidth="1"/>
    <col min="8" max="55" width="3.5703125" style="27" customWidth="1"/>
    <col min="56" max="58" width="10.85546875" style="27" customWidth="1"/>
    <col min="59" max="59" width="12.7109375" style="27" customWidth="1"/>
    <col min="60" max="60" width="14.42578125" style="27" customWidth="1"/>
    <col min="61" max="16384" width="11.42578125" style="27"/>
  </cols>
  <sheetData>
    <row r="1" spans="1:61" ht="15" x14ac:dyDescent="0.2">
      <c r="H1" s="28"/>
    </row>
    <row r="2" spans="1:61" ht="19.5" customHeight="1" thickBot="1" x14ac:dyDescent="0.25">
      <c r="H2" s="28"/>
    </row>
    <row r="3" spans="1:61" ht="48" customHeight="1" x14ac:dyDescent="0.2">
      <c r="A3" s="1208" t="s">
        <v>0</v>
      </c>
      <c r="B3" s="919" t="s">
        <v>1</v>
      </c>
      <c r="C3" s="1210" t="s">
        <v>2</v>
      </c>
      <c r="D3" s="1210" t="s">
        <v>3</v>
      </c>
      <c r="E3" s="1210" t="s">
        <v>4</v>
      </c>
      <c r="F3" s="1210" t="s">
        <v>5</v>
      </c>
      <c r="G3" s="1259" t="s">
        <v>6</v>
      </c>
      <c r="H3" s="1215" t="s">
        <v>7</v>
      </c>
      <c r="I3" s="1213"/>
      <c r="J3" s="1213"/>
      <c r="K3" s="1214"/>
      <c r="L3" s="1213" t="s">
        <v>8</v>
      </c>
      <c r="M3" s="1213"/>
      <c r="N3" s="1213"/>
      <c r="O3" s="1214"/>
      <c r="P3" s="1213" t="s">
        <v>9</v>
      </c>
      <c r="Q3" s="1213"/>
      <c r="R3" s="1213"/>
      <c r="S3" s="1214"/>
      <c r="T3" s="1213" t="s">
        <v>10</v>
      </c>
      <c r="U3" s="1213"/>
      <c r="V3" s="1213"/>
      <c r="W3" s="1214"/>
      <c r="X3" s="1213" t="s">
        <v>11</v>
      </c>
      <c r="Y3" s="1213"/>
      <c r="Z3" s="1213"/>
      <c r="AA3" s="1214"/>
      <c r="AB3" s="1213" t="s">
        <v>12</v>
      </c>
      <c r="AC3" s="1213"/>
      <c r="AD3" s="1213"/>
      <c r="AE3" s="1214"/>
      <c r="AF3" s="1213" t="s">
        <v>13</v>
      </c>
      <c r="AG3" s="1213"/>
      <c r="AH3" s="1213"/>
      <c r="AI3" s="1214"/>
      <c r="AJ3" s="1213" t="s">
        <v>14</v>
      </c>
      <c r="AK3" s="1213"/>
      <c r="AL3" s="1213"/>
      <c r="AM3" s="1214"/>
      <c r="AN3" s="1213" t="s">
        <v>15</v>
      </c>
      <c r="AO3" s="1213"/>
      <c r="AP3" s="1213"/>
      <c r="AQ3" s="1214"/>
      <c r="AR3" s="1213" t="s">
        <v>16</v>
      </c>
      <c r="AS3" s="1213"/>
      <c r="AT3" s="1213"/>
      <c r="AU3" s="1214"/>
      <c r="AV3" s="1213" t="s">
        <v>17</v>
      </c>
      <c r="AW3" s="1213"/>
      <c r="AX3" s="1213"/>
      <c r="AY3" s="1214"/>
      <c r="AZ3" s="1213" t="s">
        <v>18</v>
      </c>
      <c r="BA3" s="1213"/>
      <c r="BB3" s="1213"/>
      <c r="BC3" s="1214"/>
      <c r="BD3" s="1071" t="s">
        <v>66</v>
      </c>
      <c r="BE3" s="1073" t="s">
        <v>67</v>
      </c>
      <c r="BF3" s="1139" t="s">
        <v>68</v>
      </c>
      <c r="BG3" s="1141" t="s">
        <v>69</v>
      </c>
      <c r="BH3" s="1079" t="s">
        <v>241</v>
      </c>
    </row>
    <row r="4" spans="1:61" ht="92.25" customHeight="1" thickBot="1" x14ac:dyDescent="0.25">
      <c r="A4" s="1209"/>
      <c r="B4" s="920"/>
      <c r="C4" s="1211"/>
      <c r="D4" s="1211"/>
      <c r="E4" s="1211"/>
      <c r="F4" s="1211"/>
      <c r="G4" s="1260"/>
      <c r="H4" s="1228" t="s">
        <v>19</v>
      </c>
      <c r="I4" s="1229"/>
      <c r="J4" s="1230" t="s">
        <v>20</v>
      </c>
      <c r="K4" s="1231"/>
      <c r="L4" s="1228" t="s">
        <v>19</v>
      </c>
      <c r="M4" s="1229"/>
      <c r="N4" s="1230" t="s">
        <v>20</v>
      </c>
      <c r="O4" s="1231"/>
      <c r="P4" s="1228" t="s">
        <v>19</v>
      </c>
      <c r="Q4" s="1229"/>
      <c r="R4" s="1230" t="s">
        <v>20</v>
      </c>
      <c r="S4" s="1231"/>
      <c r="T4" s="1228" t="s">
        <v>19</v>
      </c>
      <c r="U4" s="1229"/>
      <c r="V4" s="1230" t="s">
        <v>20</v>
      </c>
      <c r="W4" s="1231"/>
      <c r="X4" s="1228" t="s">
        <v>19</v>
      </c>
      <c r="Y4" s="1229"/>
      <c r="Z4" s="1230" t="s">
        <v>20</v>
      </c>
      <c r="AA4" s="1231"/>
      <c r="AB4" s="1228" t="s">
        <v>19</v>
      </c>
      <c r="AC4" s="1229"/>
      <c r="AD4" s="1230" t="s">
        <v>20</v>
      </c>
      <c r="AE4" s="1231"/>
      <c r="AF4" s="1228" t="s">
        <v>19</v>
      </c>
      <c r="AG4" s="1229"/>
      <c r="AH4" s="1230" t="s">
        <v>20</v>
      </c>
      <c r="AI4" s="1231"/>
      <c r="AJ4" s="1228" t="s">
        <v>19</v>
      </c>
      <c r="AK4" s="1229"/>
      <c r="AL4" s="1230" t="s">
        <v>20</v>
      </c>
      <c r="AM4" s="1231"/>
      <c r="AN4" s="1228" t="s">
        <v>19</v>
      </c>
      <c r="AO4" s="1229"/>
      <c r="AP4" s="1230" t="s">
        <v>20</v>
      </c>
      <c r="AQ4" s="1231"/>
      <c r="AR4" s="1228" t="s">
        <v>19</v>
      </c>
      <c r="AS4" s="1229"/>
      <c r="AT4" s="1230" t="s">
        <v>20</v>
      </c>
      <c r="AU4" s="1231"/>
      <c r="AV4" s="1228" t="s">
        <v>19</v>
      </c>
      <c r="AW4" s="1229"/>
      <c r="AX4" s="1230" t="s">
        <v>20</v>
      </c>
      <c r="AY4" s="1231"/>
      <c r="AZ4" s="1228" t="s">
        <v>19</v>
      </c>
      <c r="BA4" s="1229"/>
      <c r="BB4" s="1230" t="s">
        <v>20</v>
      </c>
      <c r="BC4" s="1231"/>
      <c r="BD4" s="1072"/>
      <c r="BE4" s="1074"/>
      <c r="BF4" s="1140"/>
      <c r="BG4" s="1142"/>
      <c r="BH4" s="1080"/>
    </row>
    <row r="5" spans="1:61" ht="39" customHeight="1" thickBot="1" x14ac:dyDescent="0.25">
      <c r="A5" s="148" t="s">
        <v>321</v>
      </c>
      <c r="B5" s="48">
        <v>0.05</v>
      </c>
      <c r="C5" s="147" t="s">
        <v>320</v>
      </c>
      <c r="D5" s="48" t="s">
        <v>319</v>
      </c>
      <c r="E5" s="146" t="s">
        <v>318</v>
      </c>
      <c r="F5" s="75">
        <v>0.05</v>
      </c>
      <c r="G5" s="860">
        <v>1.1000000000000001</v>
      </c>
      <c r="H5" s="1236">
        <v>8.3299999999999999E-2</v>
      </c>
      <c r="I5" s="1237"/>
      <c r="J5" s="1233">
        <v>8.3299999999999999E-2</v>
      </c>
      <c r="K5" s="984"/>
      <c r="L5" s="1236">
        <v>8.3299999999999999E-2</v>
      </c>
      <c r="M5" s="1237"/>
      <c r="N5" s="1233">
        <v>8.3299999999999999E-2</v>
      </c>
      <c r="O5" s="984"/>
      <c r="P5" s="1261">
        <v>8.3299999999999999E-2</v>
      </c>
      <c r="Q5" s="1203">
        <v>8.3000000000000007</v>
      </c>
      <c r="R5" s="1233">
        <v>8.3299999999999999E-2</v>
      </c>
      <c r="S5" s="984"/>
      <c r="T5" s="1234"/>
      <c r="U5" s="1234"/>
      <c r="V5" s="1233">
        <v>8.3299999999999999E-2</v>
      </c>
      <c r="W5" s="984"/>
      <c r="X5" s="1234"/>
      <c r="Y5" s="1234"/>
      <c r="Z5" s="1233">
        <v>8.3299999999999999E-2</v>
      </c>
      <c r="AA5" s="984"/>
      <c r="AB5" s="1234"/>
      <c r="AC5" s="1234"/>
      <c r="AD5" s="1233">
        <v>8.3299999999999999E-2</v>
      </c>
      <c r="AE5" s="984"/>
      <c r="AF5" s="1234"/>
      <c r="AG5" s="1234"/>
      <c r="AH5" s="1233">
        <v>8.3299999999999999E-2</v>
      </c>
      <c r="AI5" s="984"/>
      <c r="AJ5" s="1234"/>
      <c r="AK5" s="1234"/>
      <c r="AL5" s="1233">
        <v>8.3299999999999999E-2</v>
      </c>
      <c r="AM5" s="984"/>
      <c r="AN5" s="1234"/>
      <c r="AO5" s="1234"/>
      <c r="AP5" s="1233">
        <v>8.3299999999999999E-2</v>
      </c>
      <c r="AQ5" s="984"/>
      <c r="AR5" s="1234"/>
      <c r="AS5" s="1234"/>
      <c r="AT5" s="1233">
        <v>8.3299999999999999E-2</v>
      </c>
      <c r="AU5" s="984"/>
      <c r="AV5" s="1234"/>
      <c r="AW5" s="1234"/>
      <c r="AX5" s="1233">
        <v>8.3299999999999999E-2</v>
      </c>
      <c r="AY5" s="984"/>
      <c r="AZ5" s="1238"/>
      <c r="BA5" s="1234"/>
      <c r="BB5" s="1233">
        <v>8.3699999999999997E-2</v>
      </c>
      <c r="BC5" s="1235"/>
      <c r="BD5" s="263">
        <f>H5+L5+P5+T5+X5+AB5+AF5+AJ5+AN5+AR5+AV5+AZ5</f>
        <v>0.24990000000000001</v>
      </c>
      <c r="BE5" s="149">
        <f>J5+N5+R5+V5+Z5+AD5+AH5+AL5+AP5+AT5+AX5+BB5</f>
        <v>1</v>
      </c>
      <c r="BF5" s="131">
        <f>BD5/BE5</f>
        <v>0.24990000000000001</v>
      </c>
      <c r="BG5" s="132">
        <f>F5*BF5</f>
        <v>1.2495000000000001E-2</v>
      </c>
      <c r="BH5" s="133">
        <f>F5</f>
        <v>0.05</v>
      </c>
      <c r="BI5" s="257">
        <f>((J5+N5+R5)/BE5)*BH5</f>
        <v>1.2495000000000001E-2</v>
      </c>
    </row>
    <row r="6" spans="1:61" ht="43.5" thickBot="1" x14ac:dyDescent="0.25">
      <c r="A6" s="1256" t="s">
        <v>317</v>
      </c>
      <c r="B6" s="1254">
        <v>0.05</v>
      </c>
      <c r="C6" s="145" t="s">
        <v>316</v>
      </c>
      <c r="D6" s="51" t="s">
        <v>315</v>
      </c>
      <c r="E6" s="144" t="s">
        <v>314</v>
      </c>
      <c r="F6" s="143">
        <v>2.5000000000000001E-2</v>
      </c>
      <c r="G6" s="861">
        <v>2.1</v>
      </c>
      <c r="H6" s="1232">
        <v>8.3299999999999999E-2</v>
      </c>
      <c r="I6" s="937"/>
      <c r="J6" s="1222">
        <v>8.3299999999999999E-2</v>
      </c>
      <c r="K6" s="992"/>
      <c r="L6" s="1232">
        <v>8.3299999999999999E-2</v>
      </c>
      <c r="M6" s="937"/>
      <c r="N6" s="1222">
        <v>8.3299999999999999E-2</v>
      </c>
      <c r="O6" s="992"/>
      <c r="P6" s="1224">
        <v>8.3299999999999999E-2</v>
      </c>
      <c r="Q6" s="1162">
        <v>8.33</v>
      </c>
      <c r="R6" s="1222">
        <v>8.3299999999999999E-2</v>
      </c>
      <c r="S6" s="992"/>
      <c r="T6" s="998"/>
      <c r="U6" s="998"/>
      <c r="V6" s="1222">
        <v>8.3299999999999999E-2</v>
      </c>
      <c r="W6" s="992"/>
      <c r="X6" s="998"/>
      <c r="Y6" s="998"/>
      <c r="Z6" s="1222">
        <v>8.3299999999999999E-2</v>
      </c>
      <c r="AA6" s="992"/>
      <c r="AB6" s="998"/>
      <c r="AC6" s="998"/>
      <c r="AD6" s="1222">
        <v>8.3299999999999999E-2</v>
      </c>
      <c r="AE6" s="992"/>
      <c r="AF6" s="998"/>
      <c r="AG6" s="998"/>
      <c r="AH6" s="1222">
        <v>8.3299999999999999E-2</v>
      </c>
      <c r="AI6" s="992"/>
      <c r="AJ6" s="998"/>
      <c r="AK6" s="998"/>
      <c r="AL6" s="1222">
        <v>8.3299999999999999E-2</v>
      </c>
      <c r="AM6" s="992"/>
      <c r="AN6" s="998"/>
      <c r="AO6" s="998"/>
      <c r="AP6" s="1222">
        <v>8.3299999999999999E-2</v>
      </c>
      <c r="AQ6" s="992"/>
      <c r="AR6" s="998"/>
      <c r="AS6" s="998"/>
      <c r="AT6" s="1222">
        <v>8.3299999999999999E-2</v>
      </c>
      <c r="AU6" s="992"/>
      <c r="AV6" s="998"/>
      <c r="AW6" s="998"/>
      <c r="AX6" s="1222">
        <v>8.3299999999999999E-2</v>
      </c>
      <c r="AY6" s="992"/>
      <c r="AZ6" s="1223"/>
      <c r="BA6" s="998"/>
      <c r="BB6" s="1222">
        <v>8.3699999999999997E-2</v>
      </c>
      <c r="BC6" s="1239"/>
      <c r="BD6" s="263">
        <f t="shared" ref="BD6:BD28" si="0">H6+L6+P6+T6+X6+AB6+AF6+AJ6+AN6+AR6+AV6+AZ6</f>
        <v>0.24990000000000001</v>
      </c>
      <c r="BE6" s="149">
        <f t="shared" ref="BE6:BE28" si="1">J6+N6+R6+V6+Z6+AD6+AH6+AL6+AP6+AT6+AX6+BB6</f>
        <v>1</v>
      </c>
      <c r="BF6" s="131">
        <f t="shared" ref="BF6:BF28" si="2">BD6/BE6</f>
        <v>0.24990000000000001</v>
      </c>
      <c r="BG6" s="132">
        <f t="shared" ref="BG6:BG28" si="3">F6*BF6</f>
        <v>6.2475000000000004E-3</v>
      </c>
      <c r="BH6" s="133">
        <f t="shared" ref="BH6:BH28" si="4">F6</f>
        <v>2.5000000000000001E-2</v>
      </c>
      <c r="BI6" s="257">
        <f t="shared" ref="BI6:BI28" si="5">((J6+N6+R6)/BE6)*BH6</f>
        <v>6.2475000000000004E-3</v>
      </c>
    </row>
    <row r="7" spans="1:61" ht="29.25" thickBot="1" x14ac:dyDescent="0.25">
      <c r="A7" s="1257"/>
      <c r="B7" s="1032"/>
      <c r="C7" s="145" t="s">
        <v>313</v>
      </c>
      <c r="D7" s="137" t="s">
        <v>312</v>
      </c>
      <c r="E7" s="144" t="s">
        <v>311</v>
      </c>
      <c r="F7" s="143">
        <v>2.5000000000000001E-2</v>
      </c>
      <c r="G7" s="861">
        <v>2.2000000000000002</v>
      </c>
      <c r="H7" s="927">
        <v>0</v>
      </c>
      <c r="I7" s="927"/>
      <c r="J7" s="1226"/>
      <c r="K7" s="1226"/>
      <c r="L7" s="998">
        <v>0</v>
      </c>
      <c r="M7" s="998"/>
      <c r="N7" s="1226"/>
      <c r="O7" s="1226"/>
      <c r="P7" s="1153">
        <v>0</v>
      </c>
      <c r="Q7" s="1154">
        <v>0</v>
      </c>
      <c r="R7" s="1226"/>
      <c r="S7" s="1226"/>
      <c r="T7" s="998"/>
      <c r="U7" s="998"/>
      <c r="V7" s="1226"/>
      <c r="W7" s="1226"/>
      <c r="X7" s="998"/>
      <c r="Y7" s="998"/>
      <c r="Z7" s="1226"/>
      <c r="AA7" s="1226"/>
      <c r="AB7" s="998"/>
      <c r="AC7" s="998"/>
      <c r="AD7" s="1226"/>
      <c r="AE7" s="1226"/>
      <c r="AF7" s="998"/>
      <c r="AG7" s="998"/>
      <c r="AH7" s="1226"/>
      <c r="AI7" s="1226"/>
      <c r="AJ7" s="998"/>
      <c r="AK7" s="998"/>
      <c r="AL7" s="1226"/>
      <c r="AM7" s="1226"/>
      <c r="AN7" s="998"/>
      <c r="AO7" s="998"/>
      <c r="AP7" s="1226"/>
      <c r="AQ7" s="1226"/>
      <c r="AR7" s="998"/>
      <c r="AS7" s="998"/>
      <c r="AT7" s="1226"/>
      <c r="AU7" s="1226"/>
      <c r="AV7" s="998"/>
      <c r="AW7" s="998"/>
      <c r="AX7" s="992">
        <v>1</v>
      </c>
      <c r="AY7" s="992"/>
      <c r="AZ7" s="1223"/>
      <c r="BA7" s="998"/>
      <c r="BB7" s="1226"/>
      <c r="BC7" s="1240"/>
      <c r="BD7" s="129">
        <f t="shared" si="0"/>
        <v>0</v>
      </c>
      <c r="BE7" s="130">
        <f t="shared" si="1"/>
        <v>1</v>
      </c>
      <c r="BF7" s="131">
        <f t="shared" si="2"/>
        <v>0</v>
      </c>
      <c r="BG7" s="132">
        <f t="shared" si="3"/>
        <v>0</v>
      </c>
      <c r="BH7" s="133">
        <f t="shared" si="4"/>
        <v>2.5000000000000001E-2</v>
      </c>
      <c r="BI7" s="257">
        <f t="shared" si="5"/>
        <v>0</v>
      </c>
    </row>
    <row r="8" spans="1:61" ht="72" thickBot="1" x14ac:dyDescent="0.25">
      <c r="A8" s="1256" t="s">
        <v>310</v>
      </c>
      <c r="B8" s="1254">
        <v>0.1</v>
      </c>
      <c r="C8" s="58" t="s">
        <v>309</v>
      </c>
      <c r="D8" s="51" t="s">
        <v>307</v>
      </c>
      <c r="E8" s="51" t="s">
        <v>306</v>
      </c>
      <c r="F8" s="79">
        <v>0.03</v>
      </c>
      <c r="G8" s="861">
        <v>3.1</v>
      </c>
      <c r="H8" s="1241">
        <v>0.2</v>
      </c>
      <c r="I8" s="937"/>
      <c r="J8" s="1226"/>
      <c r="K8" s="1226"/>
      <c r="L8" s="1242">
        <v>0.8</v>
      </c>
      <c r="M8" s="1009"/>
      <c r="N8" s="1243">
        <v>1</v>
      </c>
      <c r="O8" s="992"/>
      <c r="P8" s="1150">
        <v>0</v>
      </c>
      <c r="Q8" s="1151">
        <v>1</v>
      </c>
      <c r="R8" s="1226"/>
      <c r="S8" s="1226"/>
      <c r="T8" s="998"/>
      <c r="U8" s="998"/>
      <c r="V8" s="1226"/>
      <c r="W8" s="1226"/>
      <c r="X8" s="998"/>
      <c r="Y8" s="998"/>
      <c r="Z8" s="1226"/>
      <c r="AA8" s="1226"/>
      <c r="AB8" s="998"/>
      <c r="AC8" s="998"/>
      <c r="AD8" s="1226"/>
      <c r="AE8" s="1226"/>
      <c r="AF8" s="998"/>
      <c r="AG8" s="998"/>
      <c r="AH8" s="1226"/>
      <c r="AI8" s="1226"/>
      <c r="AJ8" s="998"/>
      <c r="AK8" s="998"/>
      <c r="AL8" s="1226"/>
      <c r="AM8" s="1226"/>
      <c r="AN8" s="998"/>
      <c r="AO8" s="998"/>
      <c r="AP8" s="1226"/>
      <c r="AQ8" s="1226"/>
      <c r="AR8" s="998"/>
      <c r="AS8" s="998"/>
      <c r="AT8" s="1226"/>
      <c r="AU8" s="1226"/>
      <c r="AV8" s="998"/>
      <c r="AW8" s="998"/>
      <c r="AX8" s="1226"/>
      <c r="AY8" s="1226"/>
      <c r="AZ8" s="1223"/>
      <c r="BA8" s="998"/>
      <c r="BB8" s="1226"/>
      <c r="BC8" s="1240"/>
      <c r="BD8" s="263">
        <f t="shared" si="0"/>
        <v>1</v>
      </c>
      <c r="BE8" s="149">
        <f t="shared" si="1"/>
        <v>1</v>
      </c>
      <c r="BF8" s="131">
        <f t="shared" si="2"/>
        <v>1</v>
      </c>
      <c r="BG8" s="132">
        <f t="shared" si="3"/>
        <v>0.03</v>
      </c>
      <c r="BH8" s="133">
        <f t="shared" si="4"/>
        <v>0.03</v>
      </c>
      <c r="BI8" s="257">
        <f t="shared" si="5"/>
        <v>0.03</v>
      </c>
    </row>
    <row r="9" spans="1:61" ht="57.75" thickBot="1" x14ac:dyDescent="0.25">
      <c r="A9" s="1258"/>
      <c r="B9" s="1255"/>
      <c r="C9" s="58" t="s">
        <v>308</v>
      </c>
      <c r="D9" s="51" t="s">
        <v>307</v>
      </c>
      <c r="E9" s="51" t="s">
        <v>306</v>
      </c>
      <c r="F9" s="79">
        <v>0.03</v>
      </c>
      <c r="G9" s="861">
        <v>3.2</v>
      </c>
      <c r="H9" s="927">
        <v>0</v>
      </c>
      <c r="I9" s="927"/>
      <c r="J9" s="1226"/>
      <c r="K9" s="1226"/>
      <c r="L9" s="998">
        <v>0</v>
      </c>
      <c r="M9" s="998"/>
      <c r="N9" s="1226"/>
      <c r="O9" s="1226"/>
      <c r="P9" s="1153">
        <v>0</v>
      </c>
      <c r="Q9" s="1154">
        <v>0</v>
      </c>
      <c r="R9" s="1226"/>
      <c r="S9" s="1226"/>
      <c r="T9" s="998"/>
      <c r="U9" s="998"/>
      <c r="V9" s="1226"/>
      <c r="W9" s="1226"/>
      <c r="X9" s="998"/>
      <c r="Y9" s="998"/>
      <c r="Z9" s="1226"/>
      <c r="AA9" s="1226"/>
      <c r="AB9" s="998"/>
      <c r="AC9" s="998"/>
      <c r="AD9" s="1226"/>
      <c r="AE9" s="1226"/>
      <c r="AF9" s="998"/>
      <c r="AG9" s="998"/>
      <c r="AH9" s="1226"/>
      <c r="AI9" s="1226"/>
      <c r="AJ9" s="998"/>
      <c r="AK9" s="998"/>
      <c r="AL9" s="1243">
        <v>1</v>
      </c>
      <c r="AM9" s="992"/>
      <c r="AN9" s="998"/>
      <c r="AO9" s="998"/>
      <c r="AP9" s="1226"/>
      <c r="AQ9" s="1226"/>
      <c r="AR9" s="998"/>
      <c r="AS9" s="998"/>
      <c r="AT9" s="1226"/>
      <c r="AU9" s="1226"/>
      <c r="AV9" s="998"/>
      <c r="AW9" s="998"/>
      <c r="AX9" s="1226"/>
      <c r="AY9" s="1226"/>
      <c r="AZ9" s="1223"/>
      <c r="BA9" s="998"/>
      <c r="BB9" s="1226"/>
      <c r="BC9" s="1240"/>
      <c r="BD9" s="129">
        <f t="shared" si="0"/>
        <v>0</v>
      </c>
      <c r="BE9" s="149">
        <f t="shared" si="1"/>
        <v>1</v>
      </c>
      <c r="BF9" s="131">
        <f t="shared" si="2"/>
        <v>0</v>
      </c>
      <c r="BG9" s="132">
        <f t="shared" si="3"/>
        <v>0</v>
      </c>
      <c r="BH9" s="133">
        <f t="shared" si="4"/>
        <v>0.03</v>
      </c>
      <c r="BI9" s="257">
        <f t="shared" si="5"/>
        <v>0</v>
      </c>
    </row>
    <row r="10" spans="1:61" ht="43.5" thickBot="1" x14ac:dyDescent="0.25">
      <c r="A10" s="1258"/>
      <c r="B10" s="1255"/>
      <c r="C10" s="58" t="s">
        <v>305</v>
      </c>
      <c r="D10" s="51" t="s">
        <v>304</v>
      </c>
      <c r="E10" s="51" t="s">
        <v>303</v>
      </c>
      <c r="F10" s="79">
        <v>0.02</v>
      </c>
      <c r="G10" s="861">
        <v>3.3</v>
      </c>
      <c r="H10" s="927">
        <v>0</v>
      </c>
      <c r="I10" s="927"/>
      <c r="J10" s="1226"/>
      <c r="K10" s="1226"/>
      <c r="L10" s="1242">
        <v>1</v>
      </c>
      <c r="M10" s="1009"/>
      <c r="N10" s="1243">
        <v>1</v>
      </c>
      <c r="O10" s="992"/>
      <c r="P10" s="1166">
        <v>0</v>
      </c>
      <c r="Q10" s="1167"/>
      <c r="R10" s="1226"/>
      <c r="S10" s="1226"/>
      <c r="T10" s="998"/>
      <c r="U10" s="998"/>
      <c r="V10" s="1226"/>
      <c r="W10" s="1226"/>
      <c r="X10" s="998"/>
      <c r="Y10" s="998"/>
      <c r="Z10" s="1226"/>
      <c r="AA10" s="1226"/>
      <c r="AB10" s="998"/>
      <c r="AC10" s="998"/>
      <c r="AD10" s="1226"/>
      <c r="AE10" s="1226"/>
      <c r="AF10" s="998"/>
      <c r="AG10" s="998"/>
      <c r="AH10" s="1226"/>
      <c r="AI10" s="1226"/>
      <c r="AJ10" s="998"/>
      <c r="AK10" s="998"/>
      <c r="AL10" s="998"/>
      <c r="AM10" s="998"/>
      <c r="AN10" s="998"/>
      <c r="AO10" s="998"/>
      <c r="AP10" s="1226"/>
      <c r="AQ10" s="1226"/>
      <c r="AR10" s="998"/>
      <c r="AS10" s="998"/>
      <c r="AT10" s="1226"/>
      <c r="AU10" s="1226"/>
      <c r="AV10" s="998"/>
      <c r="AW10" s="998"/>
      <c r="AX10" s="1226"/>
      <c r="AY10" s="1226"/>
      <c r="AZ10" s="1223"/>
      <c r="BA10" s="998"/>
      <c r="BB10" s="1226"/>
      <c r="BC10" s="1240"/>
      <c r="BD10" s="263">
        <f t="shared" si="0"/>
        <v>1</v>
      </c>
      <c r="BE10" s="149">
        <f t="shared" si="1"/>
        <v>1</v>
      </c>
      <c r="BF10" s="131">
        <f t="shared" si="2"/>
        <v>1</v>
      </c>
      <c r="BG10" s="132">
        <f t="shared" si="3"/>
        <v>0.02</v>
      </c>
      <c r="BH10" s="133">
        <f t="shared" si="4"/>
        <v>0.02</v>
      </c>
      <c r="BI10" s="257">
        <f t="shared" si="5"/>
        <v>0.02</v>
      </c>
    </row>
    <row r="11" spans="1:61" ht="43.5" thickBot="1" x14ac:dyDescent="0.25">
      <c r="A11" s="1257"/>
      <c r="B11" s="1032"/>
      <c r="C11" s="58" t="s">
        <v>302</v>
      </c>
      <c r="D11" s="51" t="s">
        <v>301</v>
      </c>
      <c r="E11" s="51" t="s">
        <v>300</v>
      </c>
      <c r="F11" s="79">
        <v>0.02</v>
      </c>
      <c r="G11" s="861">
        <v>3.4</v>
      </c>
      <c r="H11" s="937">
        <v>3</v>
      </c>
      <c r="I11" s="937"/>
      <c r="J11" s="1227">
        <v>3</v>
      </c>
      <c r="K11" s="1227"/>
      <c r="L11" s="998">
        <v>0</v>
      </c>
      <c r="M11" s="998"/>
      <c r="N11" s="1226"/>
      <c r="O11" s="1226"/>
      <c r="P11" s="1161">
        <v>0</v>
      </c>
      <c r="Q11" s="1162"/>
      <c r="R11" s="1226"/>
      <c r="S11" s="1226"/>
      <c r="T11" s="998"/>
      <c r="U11" s="998"/>
      <c r="V11" s="1226"/>
      <c r="W11" s="1226"/>
      <c r="X11" s="998"/>
      <c r="Y11" s="998"/>
      <c r="Z11" s="1226"/>
      <c r="AA11" s="1226"/>
      <c r="AB11" s="998"/>
      <c r="AC11" s="998"/>
      <c r="AD11" s="1226"/>
      <c r="AE11" s="1226"/>
      <c r="AF11" s="998"/>
      <c r="AG11" s="998"/>
      <c r="AH11" s="1226"/>
      <c r="AI11" s="1226"/>
      <c r="AJ11" s="998"/>
      <c r="AK11" s="998"/>
      <c r="AL11" s="1226"/>
      <c r="AM11" s="1226"/>
      <c r="AN11" s="998"/>
      <c r="AO11" s="998"/>
      <c r="AP11" s="1226"/>
      <c r="AQ11" s="1226"/>
      <c r="AR11" s="998"/>
      <c r="AS11" s="998"/>
      <c r="AT11" s="1226"/>
      <c r="AU11" s="1226"/>
      <c r="AV11" s="998"/>
      <c r="AW11" s="998"/>
      <c r="AX11" s="1226"/>
      <c r="AY11" s="1226"/>
      <c r="AZ11" s="1223"/>
      <c r="BA11" s="998"/>
      <c r="BB11" s="1150"/>
      <c r="BC11" s="1152"/>
      <c r="BD11" s="129">
        <f t="shared" si="0"/>
        <v>3</v>
      </c>
      <c r="BE11" s="130">
        <f t="shared" si="1"/>
        <v>3</v>
      </c>
      <c r="BF11" s="131">
        <f t="shared" si="2"/>
        <v>1</v>
      </c>
      <c r="BG11" s="132">
        <f t="shared" si="3"/>
        <v>0.02</v>
      </c>
      <c r="BH11" s="133">
        <f t="shared" si="4"/>
        <v>0.02</v>
      </c>
      <c r="BI11" s="257">
        <f t="shared" si="5"/>
        <v>0.02</v>
      </c>
    </row>
    <row r="12" spans="1:61" ht="57.75" thickBot="1" x14ac:dyDescent="0.25">
      <c r="A12" s="1256" t="s">
        <v>299</v>
      </c>
      <c r="B12" s="1254">
        <v>0.15</v>
      </c>
      <c r="C12" s="58" t="s">
        <v>298</v>
      </c>
      <c r="D12" s="137" t="s">
        <v>297</v>
      </c>
      <c r="E12" s="51" t="s">
        <v>296</v>
      </c>
      <c r="F12" s="79">
        <v>0.06</v>
      </c>
      <c r="G12" s="861">
        <v>4.0999999999999996</v>
      </c>
      <c r="H12" s="927">
        <v>0</v>
      </c>
      <c r="I12" s="927"/>
      <c r="J12" s="1150"/>
      <c r="K12" s="1151"/>
      <c r="L12" s="998">
        <v>0</v>
      </c>
      <c r="M12" s="998"/>
      <c r="N12" s="1226"/>
      <c r="O12" s="1226"/>
      <c r="P12" s="1161">
        <v>1</v>
      </c>
      <c r="Q12" s="1162">
        <v>1</v>
      </c>
      <c r="R12" s="1227">
        <v>1</v>
      </c>
      <c r="S12" s="1227"/>
      <c r="T12" s="998"/>
      <c r="U12" s="998"/>
      <c r="V12" s="1226"/>
      <c r="W12" s="1226"/>
      <c r="X12" s="998"/>
      <c r="Y12" s="998"/>
      <c r="Z12" s="1226"/>
      <c r="AA12" s="1226"/>
      <c r="AB12" s="998"/>
      <c r="AC12" s="998"/>
      <c r="AD12" s="1226"/>
      <c r="AE12" s="1226"/>
      <c r="AF12" s="998"/>
      <c r="AG12" s="998"/>
      <c r="AH12" s="1226"/>
      <c r="AI12" s="1226"/>
      <c r="AJ12" s="998"/>
      <c r="AK12" s="998"/>
      <c r="AL12" s="1226"/>
      <c r="AM12" s="1226"/>
      <c r="AN12" s="998"/>
      <c r="AO12" s="998"/>
      <c r="AP12" s="1226"/>
      <c r="AQ12" s="1226"/>
      <c r="AR12" s="998"/>
      <c r="AS12" s="998"/>
      <c r="AT12" s="1226"/>
      <c r="AU12" s="1226"/>
      <c r="AV12" s="998"/>
      <c r="AW12" s="998"/>
      <c r="AX12" s="1226"/>
      <c r="AY12" s="1226"/>
      <c r="AZ12" s="1223"/>
      <c r="BA12" s="998"/>
      <c r="BB12" s="1150"/>
      <c r="BC12" s="1152"/>
      <c r="BD12" s="129">
        <f t="shared" si="0"/>
        <v>1</v>
      </c>
      <c r="BE12" s="130">
        <f t="shared" si="1"/>
        <v>1</v>
      </c>
      <c r="BF12" s="131">
        <f t="shared" si="2"/>
        <v>1</v>
      </c>
      <c r="BG12" s="132">
        <f t="shared" si="3"/>
        <v>0.06</v>
      </c>
      <c r="BH12" s="133">
        <f t="shared" si="4"/>
        <v>0.06</v>
      </c>
      <c r="BI12" s="257">
        <f t="shared" si="5"/>
        <v>0.06</v>
      </c>
    </row>
    <row r="13" spans="1:61" ht="43.5" thickBot="1" x14ac:dyDescent="0.25">
      <c r="A13" s="1258"/>
      <c r="B13" s="1255"/>
      <c r="C13" s="58" t="s">
        <v>295</v>
      </c>
      <c r="D13" s="51" t="s">
        <v>294</v>
      </c>
      <c r="E13" s="51" t="s">
        <v>293</v>
      </c>
      <c r="F13" s="79">
        <v>7.0000000000000007E-2</v>
      </c>
      <c r="G13" s="861">
        <v>4.2</v>
      </c>
      <c r="H13" s="1232">
        <v>8.3299999999999999E-2</v>
      </c>
      <c r="I13" s="937"/>
      <c r="J13" s="1222">
        <v>8.3299999999999999E-2</v>
      </c>
      <c r="K13" s="992"/>
      <c r="L13" s="1225">
        <v>8.3299999999999999E-2</v>
      </c>
      <c r="M13" s="1009"/>
      <c r="N13" s="1222">
        <v>8.3299999999999999E-2</v>
      </c>
      <c r="O13" s="992"/>
      <c r="P13" s="1224">
        <v>8.3299999999999999E-2</v>
      </c>
      <c r="Q13" s="1162">
        <v>8.33</v>
      </c>
      <c r="R13" s="1222">
        <v>8.3299999999999999E-2</v>
      </c>
      <c r="S13" s="992"/>
      <c r="T13" s="998"/>
      <c r="U13" s="998"/>
      <c r="V13" s="1222">
        <v>8.3299999999999999E-2</v>
      </c>
      <c r="W13" s="992"/>
      <c r="X13" s="998"/>
      <c r="Y13" s="998"/>
      <c r="Z13" s="1222">
        <v>8.3299999999999999E-2</v>
      </c>
      <c r="AA13" s="992"/>
      <c r="AB13" s="998"/>
      <c r="AC13" s="998"/>
      <c r="AD13" s="1222">
        <v>8.3299999999999999E-2</v>
      </c>
      <c r="AE13" s="992"/>
      <c r="AF13" s="998"/>
      <c r="AG13" s="998"/>
      <c r="AH13" s="1222">
        <v>8.3299999999999999E-2</v>
      </c>
      <c r="AI13" s="992"/>
      <c r="AJ13" s="998"/>
      <c r="AK13" s="998"/>
      <c r="AL13" s="1222">
        <v>8.3299999999999999E-2</v>
      </c>
      <c r="AM13" s="992"/>
      <c r="AN13" s="998"/>
      <c r="AO13" s="998"/>
      <c r="AP13" s="1222">
        <v>8.3299999999999999E-2</v>
      </c>
      <c r="AQ13" s="992"/>
      <c r="AR13" s="998"/>
      <c r="AS13" s="998"/>
      <c r="AT13" s="1222">
        <v>8.3299999999999999E-2</v>
      </c>
      <c r="AU13" s="992"/>
      <c r="AV13" s="998"/>
      <c r="AW13" s="998"/>
      <c r="AX13" s="1222">
        <v>8.3299999999999999E-2</v>
      </c>
      <c r="AY13" s="992"/>
      <c r="AZ13" s="1223"/>
      <c r="BA13" s="998"/>
      <c r="BB13" s="1222">
        <v>8.3699999999999997E-2</v>
      </c>
      <c r="BC13" s="1239"/>
      <c r="BD13" s="263">
        <f t="shared" si="0"/>
        <v>0.24990000000000001</v>
      </c>
      <c r="BE13" s="149">
        <f t="shared" si="1"/>
        <v>1</v>
      </c>
      <c r="BF13" s="131">
        <f t="shared" si="2"/>
        <v>0.24990000000000001</v>
      </c>
      <c r="BG13" s="132">
        <f t="shared" si="3"/>
        <v>1.7493000000000002E-2</v>
      </c>
      <c r="BH13" s="133">
        <f t="shared" si="4"/>
        <v>7.0000000000000007E-2</v>
      </c>
      <c r="BI13" s="257">
        <f t="shared" si="5"/>
        <v>1.7493000000000002E-2</v>
      </c>
    </row>
    <row r="14" spans="1:61" ht="29.25" thickBot="1" x14ac:dyDescent="0.25">
      <c r="A14" s="1257"/>
      <c r="B14" s="1032"/>
      <c r="C14" s="58" t="s">
        <v>292</v>
      </c>
      <c r="D14" s="51" t="s">
        <v>291</v>
      </c>
      <c r="E14" s="51" t="s">
        <v>290</v>
      </c>
      <c r="F14" s="79">
        <v>0.02</v>
      </c>
      <c r="G14" s="861">
        <v>4.3</v>
      </c>
      <c r="H14" s="927">
        <v>0</v>
      </c>
      <c r="I14" s="927"/>
      <c r="J14" s="1150"/>
      <c r="K14" s="1151"/>
      <c r="L14" s="998">
        <v>0</v>
      </c>
      <c r="M14" s="998"/>
      <c r="N14" s="1226"/>
      <c r="O14" s="1226"/>
      <c r="P14" s="1153"/>
      <c r="Q14" s="1154"/>
      <c r="R14" s="1226"/>
      <c r="S14" s="1226"/>
      <c r="T14" s="998"/>
      <c r="U14" s="998"/>
      <c r="V14" s="1226"/>
      <c r="W14" s="1226"/>
      <c r="X14" s="998"/>
      <c r="Y14" s="998"/>
      <c r="Z14" s="1226"/>
      <c r="AA14" s="1226"/>
      <c r="AB14" s="998"/>
      <c r="AC14" s="998"/>
      <c r="AD14" s="1226"/>
      <c r="AE14" s="1226"/>
      <c r="AF14" s="998"/>
      <c r="AG14" s="998"/>
      <c r="AH14" s="1226"/>
      <c r="AI14" s="1226"/>
      <c r="AJ14" s="998"/>
      <c r="AK14" s="998"/>
      <c r="AL14" s="1226"/>
      <c r="AM14" s="1226"/>
      <c r="AN14" s="998"/>
      <c r="AO14" s="998"/>
      <c r="AP14" s="1226"/>
      <c r="AQ14" s="1226"/>
      <c r="AR14" s="998"/>
      <c r="AS14" s="998"/>
      <c r="AT14" s="1226"/>
      <c r="AU14" s="1226"/>
      <c r="AV14" s="998"/>
      <c r="AW14" s="998"/>
      <c r="AX14" s="1226"/>
      <c r="AY14" s="1226"/>
      <c r="AZ14" s="1223"/>
      <c r="BA14" s="998"/>
      <c r="BB14" s="992">
        <v>1</v>
      </c>
      <c r="BC14" s="1239"/>
      <c r="BD14" s="129">
        <f t="shared" si="0"/>
        <v>0</v>
      </c>
      <c r="BE14" s="130">
        <f t="shared" si="1"/>
        <v>1</v>
      </c>
      <c r="BF14" s="131">
        <f t="shared" si="2"/>
        <v>0</v>
      </c>
      <c r="BG14" s="132">
        <f t="shared" si="3"/>
        <v>0</v>
      </c>
      <c r="BH14" s="133">
        <f t="shared" si="4"/>
        <v>0.02</v>
      </c>
      <c r="BI14" s="257">
        <f t="shared" si="5"/>
        <v>0</v>
      </c>
    </row>
    <row r="15" spans="1:61" ht="57.75" thickBot="1" x14ac:dyDescent="0.25">
      <c r="A15" s="1256" t="s">
        <v>289</v>
      </c>
      <c r="B15" s="1254">
        <v>0.15</v>
      </c>
      <c r="C15" s="58" t="s">
        <v>288</v>
      </c>
      <c r="D15" s="137" t="s">
        <v>287</v>
      </c>
      <c r="E15" s="51" t="s">
        <v>286</v>
      </c>
      <c r="F15" s="79">
        <v>0.05</v>
      </c>
      <c r="G15" s="861">
        <v>5.0999999999999996</v>
      </c>
      <c r="H15" s="927">
        <v>0</v>
      </c>
      <c r="I15" s="927"/>
      <c r="J15" s="1150"/>
      <c r="K15" s="1151"/>
      <c r="L15" s="998">
        <v>0</v>
      </c>
      <c r="M15" s="998"/>
      <c r="N15" s="1226"/>
      <c r="O15" s="1226"/>
      <c r="P15" s="1161">
        <v>1</v>
      </c>
      <c r="Q15" s="1162">
        <v>1</v>
      </c>
      <c r="R15" s="1227">
        <v>1</v>
      </c>
      <c r="S15" s="1227"/>
      <c r="T15" s="998"/>
      <c r="U15" s="998"/>
      <c r="V15" s="1226"/>
      <c r="W15" s="1226"/>
      <c r="X15" s="998"/>
      <c r="Y15" s="998"/>
      <c r="Z15" s="1226"/>
      <c r="AA15" s="1226"/>
      <c r="AB15" s="998"/>
      <c r="AC15" s="998"/>
      <c r="AD15" s="1226"/>
      <c r="AE15" s="1226"/>
      <c r="AF15" s="998"/>
      <c r="AG15" s="998"/>
      <c r="AH15" s="1226"/>
      <c r="AI15" s="1226"/>
      <c r="AJ15" s="998"/>
      <c r="AK15" s="998"/>
      <c r="AL15" s="1226"/>
      <c r="AM15" s="1226"/>
      <c r="AN15" s="998"/>
      <c r="AO15" s="998"/>
      <c r="AP15" s="1226"/>
      <c r="AQ15" s="1226"/>
      <c r="AR15" s="998"/>
      <c r="AS15" s="998"/>
      <c r="AT15" s="1226"/>
      <c r="AU15" s="1226"/>
      <c r="AV15" s="998"/>
      <c r="AW15" s="998"/>
      <c r="AX15" s="1226"/>
      <c r="AY15" s="1226"/>
      <c r="AZ15" s="1223"/>
      <c r="BA15" s="998"/>
      <c r="BB15" s="1150"/>
      <c r="BC15" s="1152"/>
      <c r="BD15" s="129">
        <f t="shared" si="0"/>
        <v>1</v>
      </c>
      <c r="BE15" s="130">
        <f t="shared" si="1"/>
        <v>1</v>
      </c>
      <c r="BF15" s="131">
        <f t="shared" si="2"/>
        <v>1</v>
      </c>
      <c r="BG15" s="132">
        <f t="shared" si="3"/>
        <v>0.05</v>
      </c>
      <c r="BH15" s="133">
        <f t="shared" si="4"/>
        <v>0.05</v>
      </c>
      <c r="BI15" s="257">
        <f t="shared" si="5"/>
        <v>0.05</v>
      </c>
    </row>
    <row r="16" spans="1:61" ht="29.25" thickBot="1" x14ac:dyDescent="0.25">
      <c r="A16" s="1258"/>
      <c r="B16" s="1255"/>
      <c r="C16" s="58" t="s">
        <v>285</v>
      </c>
      <c r="D16" s="137" t="s">
        <v>284</v>
      </c>
      <c r="E16" s="51" t="s">
        <v>283</v>
      </c>
      <c r="F16" s="79">
        <v>0.08</v>
      </c>
      <c r="G16" s="861">
        <v>5.2</v>
      </c>
      <c r="H16" s="1232">
        <v>8.3299999999999999E-2</v>
      </c>
      <c r="I16" s="937"/>
      <c r="J16" s="1222">
        <v>8.3299999999999999E-2</v>
      </c>
      <c r="K16" s="992"/>
      <c r="L16" s="1225">
        <v>8.3299999999999999E-2</v>
      </c>
      <c r="M16" s="1009"/>
      <c r="N16" s="1222">
        <v>8.3299999999999999E-2</v>
      </c>
      <c r="O16" s="992"/>
      <c r="P16" s="1224">
        <v>8.3299999999999999E-2</v>
      </c>
      <c r="Q16" s="1162">
        <v>8.33</v>
      </c>
      <c r="R16" s="1222">
        <v>8.3299999999999999E-2</v>
      </c>
      <c r="S16" s="992"/>
      <c r="T16" s="998"/>
      <c r="U16" s="998"/>
      <c r="V16" s="1222">
        <v>8.3299999999999999E-2</v>
      </c>
      <c r="W16" s="992"/>
      <c r="X16" s="998"/>
      <c r="Y16" s="998"/>
      <c r="Z16" s="1222">
        <v>8.3299999999999999E-2</v>
      </c>
      <c r="AA16" s="992"/>
      <c r="AB16" s="998"/>
      <c r="AC16" s="998"/>
      <c r="AD16" s="1222">
        <v>8.3299999999999999E-2</v>
      </c>
      <c r="AE16" s="992"/>
      <c r="AF16" s="998"/>
      <c r="AG16" s="998"/>
      <c r="AH16" s="1222">
        <v>8.3299999999999999E-2</v>
      </c>
      <c r="AI16" s="992"/>
      <c r="AJ16" s="998"/>
      <c r="AK16" s="998"/>
      <c r="AL16" s="1222">
        <v>8.3299999999999999E-2</v>
      </c>
      <c r="AM16" s="992"/>
      <c r="AN16" s="998"/>
      <c r="AO16" s="998"/>
      <c r="AP16" s="1222">
        <v>8.3299999999999999E-2</v>
      </c>
      <c r="AQ16" s="992"/>
      <c r="AR16" s="998"/>
      <c r="AS16" s="998"/>
      <c r="AT16" s="1222">
        <v>8.3299999999999999E-2</v>
      </c>
      <c r="AU16" s="992"/>
      <c r="AV16" s="998"/>
      <c r="AW16" s="998"/>
      <c r="AX16" s="1222">
        <v>8.3299999999999999E-2</v>
      </c>
      <c r="AY16" s="992"/>
      <c r="AZ16" s="1223"/>
      <c r="BA16" s="998"/>
      <c r="BB16" s="1222">
        <v>8.3299999999999999E-2</v>
      </c>
      <c r="BC16" s="1239"/>
      <c r="BD16" s="263">
        <f t="shared" si="0"/>
        <v>0.24990000000000001</v>
      </c>
      <c r="BE16" s="149">
        <f t="shared" si="1"/>
        <v>0.99960000000000016</v>
      </c>
      <c r="BF16" s="131">
        <f t="shared" si="2"/>
        <v>0.24999999999999997</v>
      </c>
      <c r="BG16" s="132">
        <f t="shared" si="3"/>
        <v>1.9999999999999997E-2</v>
      </c>
      <c r="BH16" s="133">
        <f t="shared" si="4"/>
        <v>0.08</v>
      </c>
      <c r="BI16" s="257">
        <f t="shared" si="5"/>
        <v>1.9999999999999997E-2</v>
      </c>
    </row>
    <row r="17" spans="1:61" ht="29.25" thickBot="1" x14ac:dyDescent="0.25">
      <c r="A17" s="1258"/>
      <c r="B17" s="1255"/>
      <c r="C17" s="58" t="s">
        <v>282</v>
      </c>
      <c r="D17" s="51" t="s">
        <v>281</v>
      </c>
      <c r="E17" s="51" t="s">
        <v>280</v>
      </c>
      <c r="F17" s="79">
        <v>0.02</v>
      </c>
      <c r="G17" s="861">
        <v>5.3</v>
      </c>
      <c r="H17" s="927">
        <v>0</v>
      </c>
      <c r="I17" s="927"/>
      <c r="J17" s="1150"/>
      <c r="K17" s="1151"/>
      <c r="L17" s="998">
        <v>0</v>
      </c>
      <c r="M17" s="998"/>
      <c r="N17" s="1226"/>
      <c r="O17" s="1226"/>
      <c r="P17" s="1153">
        <v>0</v>
      </c>
      <c r="Q17" s="1154">
        <v>0</v>
      </c>
      <c r="R17" s="998"/>
      <c r="S17" s="998"/>
      <c r="T17" s="998"/>
      <c r="U17" s="998"/>
      <c r="V17" s="1226"/>
      <c r="W17" s="1226"/>
      <c r="X17" s="998"/>
      <c r="Y17" s="998"/>
      <c r="Z17" s="1226"/>
      <c r="AA17" s="1226"/>
      <c r="AB17" s="998"/>
      <c r="AC17" s="998"/>
      <c r="AD17" s="1226"/>
      <c r="AE17" s="1226"/>
      <c r="AF17" s="998"/>
      <c r="AG17" s="998"/>
      <c r="AH17" s="1226"/>
      <c r="AI17" s="1226"/>
      <c r="AJ17" s="998"/>
      <c r="AK17" s="998"/>
      <c r="AL17" s="1226"/>
      <c r="AM17" s="1226"/>
      <c r="AN17" s="998"/>
      <c r="AO17" s="998"/>
      <c r="AP17" s="1226"/>
      <c r="AQ17" s="1226"/>
      <c r="AR17" s="998"/>
      <c r="AS17" s="998"/>
      <c r="AT17" s="1226"/>
      <c r="AU17" s="1226"/>
      <c r="AV17" s="998"/>
      <c r="AW17" s="998"/>
      <c r="AX17" s="1226"/>
      <c r="AY17" s="1226"/>
      <c r="AZ17" s="1223"/>
      <c r="BA17" s="998"/>
      <c r="BB17" s="992">
        <v>1</v>
      </c>
      <c r="BC17" s="1239"/>
      <c r="BD17" s="129">
        <f t="shared" si="0"/>
        <v>0</v>
      </c>
      <c r="BE17" s="130">
        <f t="shared" si="1"/>
        <v>1</v>
      </c>
      <c r="BF17" s="131">
        <f t="shared" si="2"/>
        <v>0</v>
      </c>
      <c r="BG17" s="132">
        <f t="shared" si="3"/>
        <v>0</v>
      </c>
      <c r="BH17" s="133">
        <f t="shared" si="4"/>
        <v>0.02</v>
      </c>
      <c r="BI17" s="257">
        <f t="shared" si="5"/>
        <v>0</v>
      </c>
    </row>
    <row r="18" spans="1:61" ht="43.5" thickBot="1" x14ac:dyDescent="0.25">
      <c r="A18" s="1256" t="s">
        <v>279</v>
      </c>
      <c r="B18" s="1254">
        <v>0.15</v>
      </c>
      <c r="C18" s="142" t="s">
        <v>278</v>
      </c>
      <c r="D18" s="141" t="s">
        <v>277</v>
      </c>
      <c r="E18" s="140" t="s">
        <v>276</v>
      </c>
      <c r="F18" s="79">
        <v>0.05</v>
      </c>
      <c r="G18" s="861">
        <v>6.1</v>
      </c>
      <c r="H18" s="927">
        <v>0</v>
      </c>
      <c r="I18" s="927"/>
      <c r="J18" s="1150"/>
      <c r="K18" s="1151"/>
      <c r="L18" s="998">
        <v>0</v>
      </c>
      <c r="M18" s="998"/>
      <c r="N18" s="1226"/>
      <c r="O18" s="1226"/>
      <c r="P18" s="1161">
        <v>1</v>
      </c>
      <c r="Q18" s="1162">
        <v>1</v>
      </c>
      <c r="R18" s="1227">
        <v>1</v>
      </c>
      <c r="S18" s="1227"/>
      <c r="T18" s="998"/>
      <c r="U18" s="998"/>
      <c r="V18" s="1226"/>
      <c r="W18" s="1226"/>
      <c r="X18" s="998"/>
      <c r="Y18" s="998"/>
      <c r="Z18" s="1226"/>
      <c r="AA18" s="1226"/>
      <c r="AB18" s="998"/>
      <c r="AC18" s="998"/>
      <c r="AD18" s="1226"/>
      <c r="AE18" s="1226"/>
      <c r="AF18" s="998"/>
      <c r="AG18" s="998"/>
      <c r="AH18" s="1226"/>
      <c r="AI18" s="1226"/>
      <c r="AJ18" s="998"/>
      <c r="AK18" s="998"/>
      <c r="AL18" s="1226"/>
      <c r="AM18" s="1226"/>
      <c r="AN18" s="998"/>
      <c r="AO18" s="998"/>
      <c r="AP18" s="1226"/>
      <c r="AQ18" s="1226"/>
      <c r="AR18" s="998"/>
      <c r="AS18" s="998"/>
      <c r="AT18" s="1226"/>
      <c r="AU18" s="1226"/>
      <c r="AV18" s="998"/>
      <c r="AW18" s="998"/>
      <c r="AX18" s="1226"/>
      <c r="AY18" s="1226"/>
      <c r="AZ18" s="1223"/>
      <c r="BA18" s="998"/>
      <c r="BB18" s="1150"/>
      <c r="BC18" s="1152"/>
      <c r="BD18" s="129">
        <f t="shared" si="0"/>
        <v>1</v>
      </c>
      <c r="BE18" s="130">
        <f t="shared" si="1"/>
        <v>1</v>
      </c>
      <c r="BF18" s="131">
        <f t="shared" si="2"/>
        <v>1</v>
      </c>
      <c r="BG18" s="132">
        <f t="shared" si="3"/>
        <v>0.05</v>
      </c>
      <c r="BH18" s="133">
        <f t="shared" si="4"/>
        <v>0.05</v>
      </c>
      <c r="BI18" s="257">
        <f t="shared" si="5"/>
        <v>0.05</v>
      </c>
    </row>
    <row r="19" spans="1:61" ht="29.25" thickBot="1" x14ac:dyDescent="0.25">
      <c r="A19" s="1258"/>
      <c r="B19" s="1255"/>
      <c r="C19" s="139" t="s">
        <v>275</v>
      </c>
      <c r="D19" s="136" t="s">
        <v>274</v>
      </c>
      <c r="E19" s="138" t="s">
        <v>273</v>
      </c>
      <c r="F19" s="79">
        <v>0.05</v>
      </c>
      <c r="G19" s="861">
        <v>6.2</v>
      </c>
      <c r="H19" s="1232">
        <v>8.3299999999999999E-2</v>
      </c>
      <c r="I19" s="937"/>
      <c r="J19" s="1222">
        <v>8.3299999999999999E-2</v>
      </c>
      <c r="K19" s="992"/>
      <c r="L19" s="1225">
        <v>8.3299999999999999E-2</v>
      </c>
      <c r="M19" s="1009"/>
      <c r="N19" s="1222">
        <v>8.3299999999999999E-2</v>
      </c>
      <c r="O19" s="992"/>
      <c r="P19" s="1224">
        <v>8.3299999999999999E-2</v>
      </c>
      <c r="Q19" s="1162">
        <v>8.33</v>
      </c>
      <c r="R19" s="1222">
        <v>8.3299999999999999E-2</v>
      </c>
      <c r="S19" s="992"/>
      <c r="T19" s="998"/>
      <c r="U19" s="998"/>
      <c r="V19" s="1222">
        <v>8.3299999999999999E-2</v>
      </c>
      <c r="W19" s="992"/>
      <c r="X19" s="998"/>
      <c r="Y19" s="998"/>
      <c r="Z19" s="1222">
        <v>8.3299999999999999E-2</v>
      </c>
      <c r="AA19" s="992"/>
      <c r="AB19" s="998"/>
      <c r="AC19" s="998"/>
      <c r="AD19" s="1222">
        <v>8.3299999999999999E-2</v>
      </c>
      <c r="AE19" s="992"/>
      <c r="AF19" s="998"/>
      <c r="AG19" s="998"/>
      <c r="AH19" s="1222">
        <v>8.3299999999999999E-2</v>
      </c>
      <c r="AI19" s="992"/>
      <c r="AJ19" s="998"/>
      <c r="AK19" s="998"/>
      <c r="AL19" s="1222">
        <v>8.3299999999999999E-2</v>
      </c>
      <c r="AM19" s="992"/>
      <c r="AN19" s="998"/>
      <c r="AO19" s="998"/>
      <c r="AP19" s="1222">
        <v>8.3299999999999999E-2</v>
      </c>
      <c r="AQ19" s="992"/>
      <c r="AR19" s="998"/>
      <c r="AS19" s="998"/>
      <c r="AT19" s="1222">
        <v>8.3299999999999999E-2</v>
      </c>
      <c r="AU19" s="992"/>
      <c r="AV19" s="998"/>
      <c r="AW19" s="998"/>
      <c r="AX19" s="1222">
        <v>8.3299999999999999E-2</v>
      </c>
      <c r="AY19" s="992"/>
      <c r="AZ19" s="1223"/>
      <c r="BA19" s="998"/>
      <c r="BB19" s="1222">
        <v>8.3299999999999999E-2</v>
      </c>
      <c r="BC19" s="1239"/>
      <c r="BD19" s="263">
        <f t="shared" si="0"/>
        <v>0.24990000000000001</v>
      </c>
      <c r="BE19" s="149">
        <f t="shared" si="1"/>
        <v>0.99960000000000016</v>
      </c>
      <c r="BF19" s="131">
        <f t="shared" si="2"/>
        <v>0.24999999999999997</v>
      </c>
      <c r="BG19" s="132">
        <f t="shared" si="3"/>
        <v>1.2499999999999999E-2</v>
      </c>
      <c r="BH19" s="133">
        <f t="shared" si="4"/>
        <v>0.05</v>
      </c>
      <c r="BI19" s="257">
        <f t="shared" si="5"/>
        <v>1.2499999999999999E-2</v>
      </c>
    </row>
    <row r="20" spans="1:61" ht="29.25" thickBot="1" x14ac:dyDescent="0.25">
      <c r="A20" s="1257"/>
      <c r="B20" s="1032"/>
      <c r="C20" s="139" t="s">
        <v>272</v>
      </c>
      <c r="D20" s="136" t="s">
        <v>271</v>
      </c>
      <c r="E20" s="138" t="s">
        <v>270</v>
      </c>
      <c r="F20" s="79">
        <v>0.05</v>
      </c>
      <c r="G20" s="861">
        <v>6.3</v>
      </c>
      <c r="H20" s="1232">
        <v>8.3299999999999999E-2</v>
      </c>
      <c r="I20" s="937"/>
      <c r="J20" s="1222">
        <v>8.3299999999999999E-2</v>
      </c>
      <c r="K20" s="992"/>
      <c r="L20" s="1225">
        <v>8.3299999999999999E-2</v>
      </c>
      <c r="M20" s="1009"/>
      <c r="N20" s="1222">
        <v>8.3299999999999999E-2</v>
      </c>
      <c r="O20" s="992"/>
      <c r="P20" s="1224">
        <v>8.3299999999999999E-2</v>
      </c>
      <c r="Q20" s="1162">
        <v>8.33</v>
      </c>
      <c r="R20" s="1222">
        <v>8.3299999999999999E-2</v>
      </c>
      <c r="S20" s="992"/>
      <c r="T20" s="998"/>
      <c r="U20" s="998"/>
      <c r="V20" s="1222">
        <v>8.3299999999999999E-2</v>
      </c>
      <c r="W20" s="992"/>
      <c r="X20" s="998"/>
      <c r="Y20" s="998"/>
      <c r="Z20" s="1222">
        <v>8.3299999999999999E-2</v>
      </c>
      <c r="AA20" s="992"/>
      <c r="AB20" s="998"/>
      <c r="AC20" s="998"/>
      <c r="AD20" s="1222">
        <v>8.3299999999999999E-2</v>
      </c>
      <c r="AE20" s="992"/>
      <c r="AF20" s="998"/>
      <c r="AG20" s="998"/>
      <c r="AH20" s="1222">
        <v>8.3299999999999999E-2</v>
      </c>
      <c r="AI20" s="992"/>
      <c r="AJ20" s="998"/>
      <c r="AK20" s="998"/>
      <c r="AL20" s="1222">
        <v>8.3299999999999999E-2</v>
      </c>
      <c r="AM20" s="992"/>
      <c r="AN20" s="998"/>
      <c r="AO20" s="998"/>
      <c r="AP20" s="1222">
        <v>8.3299999999999999E-2</v>
      </c>
      <c r="AQ20" s="992"/>
      <c r="AR20" s="998"/>
      <c r="AS20" s="998"/>
      <c r="AT20" s="1222">
        <v>8.3299999999999999E-2</v>
      </c>
      <c r="AU20" s="992"/>
      <c r="AV20" s="998"/>
      <c r="AW20" s="998"/>
      <c r="AX20" s="1222">
        <v>8.3299999999999999E-2</v>
      </c>
      <c r="AY20" s="992"/>
      <c r="AZ20" s="1223"/>
      <c r="BA20" s="998"/>
      <c r="BB20" s="1222">
        <v>8.3299999999999999E-2</v>
      </c>
      <c r="BC20" s="1239"/>
      <c r="BD20" s="263">
        <f t="shared" si="0"/>
        <v>0.24990000000000001</v>
      </c>
      <c r="BE20" s="149">
        <f t="shared" si="1"/>
        <v>0.99960000000000016</v>
      </c>
      <c r="BF20" s="131">
        <f t="shared" si="2"/>
        <v>0.24999999999999997</v>
      </c>
      <c r="BG20" s="132">
        <f t="shared" si="3"/>
        <v>1.2499999999999999E-2</v>
      </c>
      <c r="BH20" s="133">
        <f t="shared" si="4"/>
        <v>0.05</v>
      </c>
      <c r="BI20" s="257">
        <f t="shared" si="5"/>
        <v>1.2499999999999999E-2</v>
      </c>
    </row>
    <row r="21" spans="1:61" ht="43.5" thickBot="1" x14ac:dyDescent="0.25">
      <c r="A21" s="1262" t="s">
        <v>269</v>
      </c>
      <c r="B21" s="1033">
        <v>0.12</v>
      </c>
      <c r="C21" s="139" t="s">
        <v>268</v>
      </c>
      <c r="D21" s="138" t="s">
        <v>267</v>
      </c>
      <c r="E21" s="138" t="s">
        <v>266</v>
      </c>
      <c r="F21" s="79">
        <v>0.02</v>
      </c>
      <c r="G21" s="861">
        <v>7.1</v>
      </c>
      <c r="H21" s="1251">
        <v>8.3299999999999999E-2</v>
      </c>
      <c r="I21" s="955"/>
      <c r="J21" s="1222">
        <v>8.3299999999999999E-2</v>
      </c>
      <c r="K21" s="992"/>
      <c r="L21" s="1225">
        <v>8.3299999999999999E-2</v>
      </c>
      <c r="M21" s="1009"/>
      <c r="N21" s="1222">
        <v>8.3299999999999999E-2</v>
      </c>
      <c r="O21" s="992"/>
      <c r="P21" s="1224">
        <v>8.3299999999999999E-2</v>
      </c>
      <c r="Q21" s="1162">
        <v>8.33</v>
      </c>
      <c r="R21" s="1222">
        <v>8.3299999999999999E-2</v>
      </c>
      <c r="S21" s="992"/>
      <c r="T21" s="998"/>
      <c r="U21" s="998"/>
      <c r="V21" s="1222">
        <v>8.3299999999999999E-2</v>
      </c>
      <c r="W21" s="992"/>
      <c r="X21" s="998"/>
      <c r="Y21" s="998"/>
      <c r="Z21" s="1222">
        <v>8.3299999999999999E-2</v>
      </c>
      <c r="AA21" s="992"/>
      <c r="AB21" s="998"/>
      <c r="AC21" s="998"/>
      <c r="AD21" s="1222">
        <v>8.3299999999999999E-2</v>
      </c>
      <c r="AE21" s="992"/>
      <c r="AF21" s="998"/>
      <c r="AG21" s="998"/>
      <c r="AH21" s="1222">
        <v>8.3299999999999999E-2</v>
      </c>
      <c r="AI21" s="992"/>
      <c r="AJ21" s="998"/>
      <c r="AK21" s="998"/>
      <c r="AL21" s="1222">
        <v>8.3299999999999999E-2</v>
      </c>
      <c r="AM21" s="992"/>
      <c r="AN21" s="998"/>
      <c r="AO21" s="998"/>
      <c r="AP21" s="1222">
        <v>8.3299999999999999E-2</v>
      </c>
      <c r="AQ21" s="992"/>
      <c r="AR21" s="998"/>
      <c r="AS21" s="998"/>
      <c r="AT21" s="1222">
        <v>8.3299999999999999E-2</v>
      </c>
      <c r="AU21" s="992"/>
      <c r="AV21" s="998"/>
      <c r="AW21" s="998"/>
      <c r="AX21" s="1222">
        <v>8.3299999999999999E-2</v>
      </c>
      <c r="AY21" s="992"/>
      <c r="AZ21" s="1223"/>
      <c r="BA21" s="998"/>
      <c r="BB21" s="1222">
        <v>8.3299999999999999E-2</v>
      </c>
      <c r="BC21" s="1239"/>
      <c r="BD21" s="263">
        <f t="shared" si="0"/>
        <v>0.24990000000000001</v>
      </c>
      <c r="BE21" s="149">
        <f t="shared" si="1"/>
        <v>0.99960000000000016</v>
      </c>
      <c r="BF21" s="131">
        <f t="shared" si="2"/>
        <v>0.24999999999999997</v>
      </c>
      <c r="BG21" s="132">
        <f t="shared" si="3"/>
        <v>4.9999999999999992E-3</v>
      </c>
      <c r="BH21" s="133">
        <f t="shared" si="4"/>
        <v>0.02</v>
      </c>
      <c r="BI21" s="257">
        <f t="shared" si="5"/>
        <v>4.9999999999999992E-3</v>
      </c>
    </row>
    <row r="22" spans="1:61" ht="57.75" thickBot="1" x14ac:dyDescent="0.25">
      <c r="A22" s="1262"/>
      <c r="B22" s="1033"/>
      <c r="C22" s="139" t="s">
        <v>265</v>
      </c>
      <c r="D22" s="136" t="s">
        <v>264</v>
      </c>
      <c r="E22" s="51" t="s">
        <v>263</v>
      </c>
      <c r="F22" s="79">
        <v>0.02</v>
      </c>
      <c r="G22" s="861">
        <v>7.2</v>
      </c>
      <c r="H22" s="1252">
        <v>0</v>
      </c>
      <c r="I22" s="1253"/>
      <c r="J22" s="1150"/>
      <c r="K22" s="1151"/>
      <c r="L22" s="998">
        <v>0</v>
      </c>
      <c r="M22" s="998"/>
      <c r="N22" s="1226"/>
      <c r="O22" s="1226"/>
      <c r="P22" s="1153">
        <v>0</v>
      </c>
      <c r="Q22" s="1154">
        <v>0</v>
      </c>
      <c r="R22" s="1226"/>
      <c r="S22" s="1226"/>
      <c r="T22" s="998"/>
      <c r="U22" s="998"/>
      <c r="V22" s="992">
        <v>1</v>
      </c>
      <c r="W22" s="992"/>
      <c r="X22" s="998"/>
      <c r="Y22" s="998"/>
      <c r="Z22" s="1226"/>
      <c r="AA22" s="1226"/>
      <c r="AB22" s="998"/>
      <c r="AC22" s="998"/>
      <c r="AD22" s="1226"/>
      <c r="AE22" s="1226"/>
      <c r="AF22" s="998"/>
      <c r="AG22" s="998"/>
      <c r="AH22" s="1226"/>
      <c r="AI22" s="1226"/>
      <c r="AJ22" s="998"/>
      <c r="AK22" s="998"/>
      <c r="AL22" s="992">
        <v>1</v>
      </c>
      <c r="AM22" s="992"/>
      <c r="AN22" s="998"/>
      <c r="AO22" s="998"/>
      <c r="AP22" s="1226"/>
      <c r="AQ22" s="1226"/>
      <c r="AR22" s="998"/>
      <c r="AS22" s="998"/>
      <c r="AT22" s="1226"/>
      <c r="AU22" s="1226"/>
      <c r="AV22" s="998"/>
      <c r="AW22" s="998"/>
      <c r="AX22" s="1226"/>
      <c r="AY22" s="1226"/>
      <c r="AZ22" s="1223"/>
      <c r="BA22" s="998"/>
      <c r="BB22" s="992">
        <v>1</v>
      </c>
      <c r="BC22" s="1239"/>
      <c r="BD22" s="129">
        <f t="shared" si="0"/>
        <v>0</v>
      </c>
      <c r="BE22" s="130">
        <f t="shared" si="1"/>
        <v>3</v>
      </c>
      <c r="BF22" s="131">
        <f t="shared" si="2"/>
        <v>0</v>
      </c>
      <c r="BG22" s="132">
        <f t="shared" si="3"/>
        <v>0</v>
      </c>
      <c r="BH22" s="133">
        <f t="shared" si="4"/>
        <v>0.02</v>
      </c>
      <c r="BI22" s="257">
        <f t="shared" si="5"/>
        <v>0</v>
      </c>
    </row>
    <row r="23" spans="1:61" ht="29.25" thickBot="1" x14ac:dyDescent="0.25">
      <c r="A23" s="1262"/>
      <c r="B23" s="1033"/>
      <c r="C23" s="139" t="s">
        <v>262</v>
      </c>
      <c r="D23" s="138" t="s">
        <v>261</v>
      </c>
      <c r="E23" s="138" t="s">
        <v>260</v>
      </c>
      <c r="F23" s="79">
        <v>0.03</v>
      </c>
      <c r="G23" s="861">
        <v>7.3</v>
      </c>
      <c r="H23" s="1251">
        <v>8.3299999999999999E-2</v>
      </c>
      <c r="I23" s="955"/>
      <c r="J23" s="1222">
        <v>8.3299999999999999E-2</v>
      </c>
      <c r="K23" s="992"/>
      <c r="L23" s="1225">
        <v>8.3299999999999999E-2</v>
      </c>
      <c r="M23" s="1009"/>
      <c r="N23" s="1222">
        <v>8.3299999999999999E-2</v>
      </c>
      <c r="O23" s="992"/>
      <c r="P23" s="1224">
        <v>8.3299999999999999E-2</v>
      </c>
      <c r="Q23" s="1162">
        <v>8.33</v>
      </c>
      <c r="R23" s="1222">
        <v>8.3299999999999999E-2</v>
      </c>
      <c r="S23" s="992"/>
      <c r="T23" s="998"/>
      <c r="U23" s="998"/>
      <c r="V23" s="1222">
        <v>8.3299999999999999E-2</v>
      </c>
      <c r="W23" s="992"/>
      <c r="X23" s="998"/>
      <c r="Y23" s="998"/>
      <c r="Z23" s="1222">
        <v>8.3299999999999999E-2</v>
      </c>
      <c r="AA23" s="992"/>
      <c r="AB23" s="998"/>
      <c r="AC23" s="998"/>
      <c r="AD23" s="1222">
        <v>8.3299999999999999E-2</v>
      </c>
      <c r="AE23" s="992"/>
      <c r="AF23" s="998"/>
      <c r="AG23" s="998"/>
      <c r="AH23" s="1222">
        <v>8.3299999999999999E-2</v>
      </c>
      <c r="AI23" s="992"/>
      <c r="AJ23" s="998"/>
      <c r="AK23" s="998"/>
      <c r="AL23" s="1222">
        <v>8.3299999999999999E-2</v>
      </c>
      <c r="AM23" s="992"/>
      <c r="AN23" s="998"/>
      <c r="AO23" s="998"/>
      <c r="AP23" s="1222">
        <v>8.3299999999999999E-2</v>
      </c>
      <c r="AQ23" s="992"/>
      <c r="AR23" s="998"/>
      <c r="AS23" s="998"/>
      <c r="AT23" s="1222">
        <v>8.3299999999999999E-2</v>
      </c>
      <c r="AU23" s="992"/>
      <c r="AV23" s="998"/>
      <c r="AW23" s="998"/>
      <c r="AX23" s="1222">
        <v>8.3299999999999999E-2</v>
      </c>
      <c r="AY23" s="992"/>
      <c r="AZ23" s="1223"/>
      <c r="BA23" s="998"/>
      <c r="BB23" s="1222">
        <v>8.3299999999999999E-2</v>
      </c>
      <c r="BC23" s="1239"/>
      <c r="BD23" s="263">
        <f t="shared" si="0"/>
        <v>0.24990000000000001</v>
      </c>
      <c r="BE23" s="149">
        <f t="shared" si="1"/>
        <v>0.99960000000000016</v>
      </c>
      <c r="BF23" s="131">
        <f t="shared" si="2"/>
        <v>0.24999999999999997</v>
      </c>
      <c r="BG23" s="132">
        <f t="shared" si="3"/>
        <v>7.4999999999999989E-3</v>
      </c>
      <c r="BH23" s="133">
        <f t="shared" si="4"/>
        <v>0.03</v>
      </c>
      <c r="BI23" s="257">
        <f t="shared" si="5"/>
        <v>7.4999999999999989E-3</v>
      </c>
    </row>
    <row r="24" spans="1:61" ht="43.5" thickBot="1" x14ac:dyDescent="0.25">
      <c r="A24" s="1262"/>
      <c r="B24" s="1033"/>
      <c r="C24" s="139" t="s">
        <v>259</v>
      </c>
      <c r="D24" s="136" t="s">
        <v>258</v>
      </c>
      <c r="E24" s="138" t="s">
        <v>257</v>
      </c>
      <c r="F24" s="79">
        <v>0.05</v>
      </c>
      <c r="G24" s="861">
        <v>7.4</v>
      </c>
      <c r="H24" s="1251">
        <v>8.3299999999999999E-2</v>
      </c>
      <c r="I24" s="955"/>
      <c r="J24" s="1222">
        <v>8.3299999999999999E-2</v>
      </c>
      <c r="K24" s="992"/>
      <c r="L24" s="1225">
        <v>8.3299999999999999E-2</v>
      </c>
      <c r="M24" s="1009"/>
      <c r="N24" s="1222">
        <v>8.3299999999999999E-2</v>
      </c>
      <c r="O24" s="992"/>
      <c r="P24" s="1224">
        <v>8.3299999999999999E-2</v>
      </c>
      <c r="Q24" s="1162">
        <v>8.33</v>
      </c>
      <c r="R24" s="1222">
        <v>8.3299999999999999E-2</v>
      </c>
      <c r="S24" s="992"/>
      <c r="T24" s="998"/>
      <c r="U24" s="998"/>
      <c r="V24" s="1222">
        <v>8.3299999999999999E-2</v>
      </c>
      <c r="W24" s="992"/>
      <c r="X24" s="998"/>
      <c r="Y24" s="998"/>
      <c r="Z24" s="1222">
        <v>8.3299999999999999E-2</v>
      </c>
      <c r="AA24" s="992"/>
      <c r="AB24" s="998"/>
      <c r="AC24" s="998"/>
      <c r="AD24" s="1222">
        <v>8.3299999999999999E-2</v>
      </c>
      <c r="AE24" s="992"/>
      <c r="AF24" s="998"/>
      <c r="AG24" s="998"/>
      <c r="AH24" s="1222">
        <v>8.3299999999999999E-2</v>
      </c>
      <c r="AI24" s="992"/>
      <c r="AJ24" s="998"/>
      <c r="AK24" s="998"/>
      <c r="AL24" s="1222">
        <v>8.3299999999999999E-2</v>
      </c>
      <c r="AM24" s="992"/>
      <c r="AN24" s="998"/>
      <c r="AO24" s="998"/>
      <c r="AP24" s="1222">
        <v>8.3299999999999999E-2</v>
      </c>
      <c r="AQ24" s="992"/>
      <c r="AR24" s="998"/>
      <c r="AS24" s="998"/>
      <c r="AT24" s="1222">
        <v>8.3299999999999999E-2</v>
      </c>
      <c r="AU24" s="992"/>
      <c r="AV24" s="998"/>
      <c r="AW24" s="998"/>
      <c r="AX24" s="1222">
        <v>8.3299999999999999E-2</v>
      </c>
      <c r="AY24" s="992"/>
      <c r="AZ24" s="1223"/>
      <c r="BA24" s="998"/>
      <c r="BB24" s="1222">
        <v>8.3299999999999999E-2</v>
      </c>
      <c r="BC24" s="1239"/>
      <c r="BD24" s="263">
        <f t="shared" si="0"/>
        <v>0.24990000000000001</v>
      </c>
      <c r="BE24" s="149">
        <f t="shared" si="1"/>
        <v>0.99960000000000016</v>
      </c>
      <c r="BF24" s="131">
        <f t="shared" si="2"/>
        <v>0.24999999999999997</v>
      </c>
      <c r="BG24" s="132">
        <f t="shared" si="3"/>
        <v>1.2499999999999999E-2</v>
      </c>
      <c r="BH24" s="133">
        <f t="shared" si="4"/>
        <v>0.05</v>
      </c>
      <c r="BI24" s="257">
        <f t="shared" si="5"/>
        <v>1.2499999999999999E-2</v>
      </c>
    </row>
    <row r="25" spans="1:61" ht="29.25" thickBot="1" x14ac:dyDescent="0.25">
      <c r="A25" s="1216" t="s">
        <v>250</v>
      </c>
      <c r="B25" s="1219">
        <v>0.18</v>
      </c>
      <c r="C25" s="58" t="s">
        <v>256</v>
      </c>
      <c r="D25" s="137" t="s">
        <v>255</v>
      </c>
      <c r="E25" s="51" t="s">
        <v>254</v>
      </c>
      <c r="F25" s="79">
        <v>0.1</v>
      </c>
      <c r="G25" s="861">
        <v>7.5</v>
      </c>
      <c r="H25" s="1250">
        <v>1</v>
      </c>
      <c r="I25" s="955"/>
      <c r="J25" s="992">
        <v>1</v>
      </c>
      <c r="K25" s="992"/>
      <c r="L25" s="1009">
        <v>1</v>
      </c>
      <c r="M25" s="1009"/>
      <c r="N25" s="992">
        <v>1</v>
      </c>
      <c r="O25" s="992"/>
      <c r="P25" s="1161">
        <v>1</v>
      </c>
      <c r="Q25" s="1162">
        <v>1</v>
      </c>
      <c r="R25" s="992">
        <v>1</v>
      </c>
      <c r="S25" s="992"/>
      <c r="T25" s="998"/>
      <c r="U25" s="998"/>
      <c r="V25" s="992">
        <v>1</v>
      </c>
      <c r="W25" s="992"/>
      <c r="X25" s="998"/>
      <c r="Y25" s="998"/>
      <c r="Z25" s="992">
        <v>1</v>
      </c>
      <c r="AA25" s="992"/>
      <c r="AB25" s="998"/>
      <c r="AC25" s="998"/>
      <c r="AD25" s="992">
        <v>1</v>
      </c>
      <c r="AE25" s="992"/>
      <c r="AF25" s="998"/>
      <c r="AG25" s="998"/>
      <c r="AH25" s="992">
        <v>2</v>
      </c>
      <c r="AI25" s="992"/>
      <c r="AJ25" s="998"/>
      <c r="AK25" s="998"/>
      <c r="AL25" s="992">
        <v>1</v>
      </c>
      <c r="AM25" s="992"/>
      <c r="AN25" s="998"/>
      <c r="AO25" s="998"/>
      <c r="AP25" s="992">
        <v>1</v>
      </c>
      <c r="AQ25" s="992"/>
      <c r="AR25" s="998"/>
      <c r="AS25" s="998"/>
      <c r="AT25" s="992">
        <v>1</v>
      </c>
      <c r="AU25" s="992"/>
      <c r="AV25" s="998"/>
      <c r="AW25" s="998"/>
      <c r="AX25" s="992">
        <v>1</v>
      </c>
      <c r="AY25" s="992"/>
      <c r="AZ25" s="1223"/>
      <c r="BA25" s="998"/>
      <c r="BB25" s="992">
        <v>2</v>
      </c>
      <c r="BC25" s="1239"/>
      <c r="BD25" s="129">
        <f t="shared" si="0"/>
        <v>3</v>
      </c>
      <c r="BE25" s="130">
        <f t="shared" si="1"/>
        <v>14</v>
      </c>
      <c r="BF25" s="131">
        <f t="shared" si="2"/>
        <v>0.21428571428571427</v>
      </c>
      <c r="BG25" s="132">
        <f t="shared" si="3"/>
        <v>2.1428571428571429E-2</v>
      </c>
      <c r="BH25" s="133">
        <f t="shared" si="4"/>
        <v>0.1</v>
      </c>
      <c r="BI25" s="257">
        <f t="shared" si="5"/>
        <v>2.1428571428571429E-2</v>
      </c>
    </row>
    <row r="26" spans="1:61" ht="57.75" thickBot="1" x14ac:dyDescent="0.25">
      <c r="A26" s="1217"/>
      <c r="B26" s="1220"/>
      <c r="C26" s="58" t="s">
        <v>253</v>
      </c>
      <c r="D26" s="138" t="s">
        <v>252</v>
      </c>
      <c r="E26" s="51" t="s">
        <v>251</v>
      </c>
      <c r="F26" s="79">
        <v>0.03</v>
      </c>
      <c r="G26" s="861">
        <v>7.6</v>
      </c>
      <c r="H26" s="1251">
        <v>8.3299999999999999E-2</v>
      </c>
      <c r="I26" s="955"/>
      <c r="J26" s="1222">
        <v>8.3299999999999999E-2</v>
      </c>
      <c r="K26" s="992"/>
      <c r="L26" s="1225">
        <v>8.3299999999999999E-2</v>
      </c>
      <c r="M26" s="1009"/>
      <c r="N26" s="1222">
        <v>8.3299999999999999E-2</v>
      </c>
      <c r="O26" s="992"/>
      <c r="P26" s="1224">
        <v>8.3299999999999999E-2</v>
      </c>
      <c r="Q26" s="1162">
        <v>8.33</v>
      </c>
      <c r="R26" s="1222">
        <v>8.3299999999999999E-2</v>
      </c>
      <c r="S26" s="992"/>
      <c r="T26" s="998"/>
      <c r="U26" s="998"/>
      <c r="V26" s="1222">
        <v>8.3299999999999999E-2</v>
      </c>
      <c r="W26" s="992"/>
      <c r="X26" s="998"/>
      <c r="Y26" s="998"/>
      <c r="Z26" s="1222">
        <v>8.3299999999999999E-2</v>
      </c>
      <c r="AA26" s="992"/>
      <c r="AB26" s="998"/>
      <c r="AC26" s="998"/>
      <c r="AD26" s="1222">
        <v>8.3299999999999999E-2</v>
      </c>
      <c r="AE26" s="992"/>
      <c r="AF26" s="998"/>
      <c r="AG26" s="998"/>
      <c r="AH26" s="1222">
        <v>8.3299999999999999E-2</v>
      </c>
      <c r="AI26" s="992"/>
      <c r="AJ26" s="998"/>
      <c r="AK26" s="998"/>
      <c r="AL26" s="1222">
        <v>8.3299999999999999E-2</v>
      </c>
      <c r="AM26" s="992"/>
      <c r="AN26" s="998"/>
      <c r="AO26" s="998"/>
      <c r="AP26" s="1222">
        <v>8.3299999999999999E-2</v>
      </c>
      <c r="AQ26" s="992"/>
      <c r="AR26" s="998"/>
      <c r="AS26" s="998"/>
      <c r="AT26" s="1222">
        <v>8.3299999999999999E-2</v>
      </c>
      <c r="AU26" s="992"/>
      <c r="AV26" s="998"/>
      <c r="AW26" s="998"/>
      <c r="AX26" s="1222">
        <v>8.3299999999999999E-2</v>
      </c>
      <c r="AY26" s="992"/>
      <c r="AZ26" s="1223"/>
      <c r="BA26" s="998"/>
      <c r="BB26" s="1222">
        <v>8.3299999999999999E-2</v>
      </c>
      <c r="BC26" s="1239"/>
      <c r="BD26" s="263">
        <f t="shared" si="0"/>
        <v>0.24990000000000001</v>
      </c>
      <c r="BE26" s="149">
        <f t="shared" si="1"/>
        <v>0.99960000000000016</v>
      </c>
      <c r="BF26" s="131">
        <f t="shared" si="2"/>
        <v>0.24999999999999997</v>
      </c>
      <c r="BG26" s="132">
        <f t="shared" si="3"/>
        <v>7.4999999999999989E-3</v>
      </c>
      <c r="BH26" s="133">
        <f t="shared" si="4"/>
        <v>0.03</v>
      </c>
      <c r="BI26" s="257">
        <f t="shared" si="5"/>
        <v>7.4999999999999989E-3</v>
      </c>
    </row>
    <row r="27" spans="1:61" ht="29.25" thickBot="1" x14ac:dyDescent="0.25">
      <c r="A27" s="1218"/>
      <c r="B27" s="1221"/>
      <c r="C27" s="58" t="s">
        <v>249</v>
      </c>
      <c r="D27" s="137" t="s">
        <v>248</v>
      </c>
      <c r="E27" s="51" t="s">
        <v>247</v>
      </c>
      <c r="F27" s="79">
        <v>0.05</v>
      </c>
      <c r="G27" s="861">
        <v>8.1</v>
      </c>
      <c r="H27" s="927">
        <v>0</v>
      </c>
      <c r="I27" s="927"/>
      <c r="J27" s="1226"/>
      <c r="K27" s="1226"/>
      <c r="L27" s="998">
        <v>0</v>
      </c>
      <c r="M27" s="998"/>
      <c r="N27" s="1226"/>
      <c r="O27" s="1226"/>
      <c r="P27" s="1153">
        <v>0</v>
      </c>
      <c r="Q27" s="1154">
        <v>0</v>
      </c>
      <c r="R27" s="1226"/>
      <c r="S27" s="1226"/>
      <c r="T27" s="998"/>
      <c r="U27" s="998"/>
      <c r="V27" s="1226"/>
      <c r="W27" s="1226"/>
      <c r="X27" s="998"/>
      <c r="Y27" s="998"/>
      <c r="Z27" s="1226"/>
      <c r="AA27" s="1226"/>
      <c r="AB27" s="998"/>
      <c r="AC27" s="998"/>
      <c r="AD27" s="992">
        <v>1</v>
      </c>
      <c r="AE27" s="992"/>
      <c r="AF27" s="998"/>
      <c r="AG27" s="998"/>
      <c r="AH27" s="1226"/>
      <c r="AI27" s="1226"/>
      <c r="AJ27" s="998"/>
      <c r="AK27" s="998"/>
      <c r="AL27" s="1226"/>
      <c r="AM27" s="1226"/>
      <c r="AN27" s="998"/>
      <c r="AO27" s="998"/>
      <c r="AP27" s="1226"/>
      <c r="AQ27" s="1226"/>
      <c r="AR27" s="998"/>
      <c r="AS27" s="998"/>
      <c r="AT27" s="1226"/>
      <c r="AU27" s="1226"/>
      <c r="AV27" s="998"/>
      <c r="AW27" s="998"/>
      <c r="AX27" s="1226"/>
      <c r="AY27" s="1226"/>
      <c r="AZ27" s="1223"/>
      <c r="BA27" s="998"/>
      <c r="BB27" s="1226"/>
      <c r="BC27" s="1240"/>
      <c r="BD27" s="129">
        <f t="shared" si="0"/>
        <v>0</v>
      </c>
      <c r="BE27" s="130">
        <f t="shared" si="1"/>
        <v>1</v>
      </c>
      <c r="BF27" s="131">
        <f t="shared" si="2"/>
        <v>0</v>
      </c>
      <c r="BG27" s="132">
        <f t="shared" si="3"/>
        <v>0</v>
      </c>
      <c r="BH27" s="133">
        <f t="shared" si="4"/>
        <v>0.05</v>
      </c>
      <c r="BI27" s="257">
        <f t="shared" si="5"/>
        <v>0</v>
      </c>
    </row>
    <row r="28" spans="1:61" ht="96" customHeight="1" thickBot="1" x14ac:dyDescent="0.25">
      <c r="A28" s="46" t="s">
        <v>246</v>
      </c>
      <c r="B28" s="118">
        <v>0.05</v>
      </c>
      <c r="C28" s="58" t="s">
        <v>244</v>
      </c>
      <c r="D28" s="136" t="s">
        <v>243</v>
      </c>
      <c r="E28" s="51" t="s">
        <v>242</v>
      </c>
      <c r="F28" s="79">
        <v>0.05</v>
      </c>
      <c r="G28" s="862">
        <v>9.1</v>
      </c>
      <c r="H28" s="1244">
        <v>0</v>
      </c>
      <c r="I28" s="957"/>
      <c r="J28" s="1245"/>
      <c r="K28" s="1245"/>
      <c r="L28" s="1246">
        <v>0</v>
      </c>
      <c r="M28" s="1246"/>
      <c r="N28" s="1247">
        <v>0.25</v>
      </c>
      <c r="O28" s="1013"/>
      <c r="P28" s="1158">
        <v>0.25</v>
      </c>
      <c r="Q28" s="1159">
        <v>0.25</v>
      </c>
      <c r="R28" s="1245"/>
      <c r="S28" s="1245"/>
      <c r="T28" s="1016"/>
      <c r="U28" s="1016"/>
      <c r="V28" s="1247">
        <v>0.25</v>
      </c>
      <c r="W28" s="1013"/>
      <c r="X28" s="1016"/>
      <c r="Y28" s="1016"/>
      <c r="Z28" s="1245"/>
      <c r="AA28" s="1245"/>
      <c r="AB28" s="1016"/>
      <c r="AC28" s="1016"/>
      <c r="AD28" s="1247">
        <v>0.25</v>
      </c>
      <c r="AE28" s="1013"/>
      <c r="AF28" s="1016"/>
      <c r="AG28" s="1016"/>
      <c r="AH28" s="1245"/>
      <c r="AI28" s="1245"/>
      <c r="AJ28" s="1016"/>
      <c r="AK28" s="1016"/>
      <c r="AL28" s="1245"/>
      <c r="AM28" s="1245"/>
      <c r="AN28" s="1016"/>
      <c r="AO28" s="1016"/>
      <c r="AP28" s="1245"/>
      <c r="AQ28" s="1245"/>
      <c r="AR28" s="1016"/>
      <c r="AS28" s="1016"/>
      <c r="AT28" s="1245"/>
      <c r="AU28" s="1245"/>
      <c r="AV28" s="1016"/>
      <c r="AW28" s="1016"/>
      <c r="AX28" s="1247">
        <v>0.25</v>
      </c>
      <c r="AY28" s="1013"/>
      <c r="AZ28" s="1248"/>
      <c r="BA28" s="1016"/>
      <c r="BB28" s="1245"/>
      <c r="BC28" s="1249"/>
      <c r="BD28" s="129">
        <f t="shared" si="0"/>
        <v>0.25</v>
      </c>
      <c r="BE28" s="149">
        <f t="shared" si="1"/>
        <v>1</v>
      </c>
      <c r="BF28" s="131">
        <f t="shared" si="2"/>
        <v>0.25</v>
      </c>
      <c r="BG28" s="132">
        <f t="shared" si="3"/>
        <v>1.2500000000000001E-2</v>
      </c>
      <c r="BH28" s="133">
        <f t="shared" si="4"/>
        <v>0.05</v>
      </c>
      <c r="BI28" s="257">
        <f t="shared" si="5"/>
        <v>1.2500000000000001E-2</v>
      </c>
    </row>
    <row r="29" spans="1:61" ht="36.75" customHeight="1" x14ac:dyDescent="0.2">
      <c r="F29" s="135"/>
      <c r="BG29" s="247">
        <f>SUM(BG5:BG28)</f>
        <v>0.3776640714285715</v>
      </c>
      <c r="BI29" s="259">
        <f>SUM(BI5:BI28)</f>
        <v>0.3776640714285715</v>
      </c>
    </row>
    <row r="31" spans="1:61" ht="28.5" customHeight="1" x14ac:dyDescent="0.2">
      <c r="C31" s="866" t="s">
        <v>71</v>
      </c>
      <c r="D31" s="867" t="s">
        <v>73</v>
      </c>
      <c r="E31" s="867" t="s">
        <v>72</v>
      </c>
    </row>
    <row r="32" spans="1:61" ht="23.25" customHeight="1" x14ac:dyDescent="0.2">
      <c r="C32" s="25" t="str">
        <f>A5</f>
        <v>1. Conocimiento Normativo y del Entorno</v>
      </c>
      <c r="D32" s="86">
        <f>B5</f>
        <v>0.05</v>
      </c>
      <c r="E32" s="26">
        <f>BG5</f>
        <v>1.2495000000000001E-2</v>
      </c>
    </row>
    <row r="33" spans="3:5" ht="23.25" customHeight="1" x14ac:dyDescent="0.2">
      <c r="C33" s="25" t="str">
        <f>A6</f>
        <v>2. Conocimiento Institucional</v>
      </c>
      <c r="D33" s="86">
        <f>B6</f>
        <v>0.05</v>
      </c>
      <c r="E33" s="26">
        <f>BG6+BG7</f>
        <v>6.2475000000000004E-3</v>
      </c>
    </row>
    <row r="34" spans="3:5" ht="23.25" customHeight="1" x14ac:dyDescent="0.2">
      <c r="C34" s="25" t="str">
        <f>A8</f>
        <v>3. Gestión del Desempeño</v>
      </c>
      <c r="D34" s="86">
        <f>B8</f>
        <v>0.1</v>
      </c>
      <c r="E34" s="26">
        <f>BG8+BG9+BG10+BG11</f>
        <v>7.0000000000000007E-2</v>
      </c>
    </row>
    <row r="35" spans="3:5" ht="23.25" customHeight="1" x14ac:dyDescent="0.2">
      <c r="C35" s="25" t="str">
        <f>A12</f>
        <v>4. Capacitación</v>
      </c>
      <c r="D35" s="86">
        <f>B12</f>
        <v>0.15</v>
      </c>
      <c r="E35" s="26">
        <f>BG12+BG13+BG14</f>
        <v>7.7493000000000006E-2</v>
      </c>
    </row>
    <row r="36" spans="3:5" ht="23.25" customHeight="1" x14ac:dyDescent="0.2">
      <c r="C36" s="25" t="str">
        <f>A15</f>
        <v>5. Bienestar</v>
      </c>
      <c r="D36" s="86">
        <f>B15</f>
        <v>0.15</v>
      </c>
      <c r="E36" s="26">
        <f>BG15+BG16+BG17</f>
        <v>7.0000000000000007E-2</v>
      </c>
    </row>
    <row r="37" spans="3:5" ht="23.25" customHeight="1" x14ac:dyDescent="0.2">
      <c r="C37" s="25" t="str">
        <f>A18</f>
        <v>6. Sistema de Gestión de Seguridad  y Salud en el Trabajo</v>
      </c>
      <c r="D37" s="86">
        <f>B18</f>
        <v>0.15</v>
      </c>
      <c r="E37" s="26">
        <f>BG18+BG19+BG20</f>
        <v>7.4999999999999997E-2</v>
      </c>
    </row>
    <row r="38" spans="3:5" ht="23.25" customHeight="1" x14ac:dyDescent="0.2">
      <c r="C38" s="25" t="str">
        <f>A21</f>
        <v>7. Administración del Talento Humano</v>
      </c>
      <c r="D38" s="86">
        <f>B21</f>
        <v>0.12</v>
      </c>
      <c r="E38" s="26">
        <f>BG21+BG22+BG23+BG24+BG25+BG26</f>
        <v>5.3928571428571423E-2</v>
      </c>
    </row>
    <row r="39" spans="3:5" ht="23.25" customHeight="1" x14ac:dyDescent="0.2">
      <c r="C39" s="25" t="str">
        <f>A25</f>
        <v>8. Clima Organizaciones y Cambio Cultiral</v>
      </c>
      <c r="D39" s="86">
        <f>B25</f>
        <v>0.18</v>
      </c>
      <c r="E39" s="26">
        <f>BG27</f>
        <v>0</v>
      </c>
    </row>
    <row r="40" spans="3:5" ht="23.25" customHeight="1" x14ac:dyDescent="0.2">
      <c r="C40" s="25" t="str">
        <f>A28</f>
        <v>9. Valores</v>
      </c>
      <c r="D40" s="86">
        <f>B28</f>
        <v>0.05</v>
      </c>
      <c r="E40" s="26">
        <f>BG28</f>
        <v>1.2500000000000001E-2</v>
      </c>
    </row>
    <row r="41" spans="3:5" x14ac:dyDescent="0.2">
      <c r="C41" s="868" t="s">
        <v>66</v>
      </c>
      <c r="D41" s="869">
        <f>SUM(D32:D40)</f>
        <v>1</v>
      </c>
      <c r="E41" s="869">
        <f>SUM(E32:E40)</f>
        <v>0.37766407142857145</v>
      </c>
    </row>
    <row r="47" spans="3:5" ht="30.75" customHeight="1" x14ac:dyDescent="0.2">
      <c r="C47" s="866" t="s">
        <v>71</v>
      </c>
      <c r="D47" s="867" t="s">
        <v>73</v>
      </c>
      <c r="E47" s="867" t="s">
        <v>72</v>
      </c>
    </row>
    <row r="48" spans="3:5" ht="19.5" customHeight="1" x14ac:dyDescent="0.2">
      <c r="C48" s="25" t="str">
        <f>C32</f>
        <v>1. Conocimiento Normativo y del Entorno</v>
      </c>
      <c r="D48" s="269">
        <f>BI5</f>
        <v>1.2495000000000001E-2</v>
      </c>
      <c r="E48" s="269">
        <f>E32</f>
        <v>1.2495000000000001E-2</v>
      </c>
    </row>
    <row r="49" spans="3:5" ht="19.5" customHeight="1" x14ac:dyDescent="0.2">
      <c r="C49" s="25" t="str">
        <f t="shared" ref="C49:C56" si="6">C33</f>
        <v>2. Conocimiento Institucional</v>
      </c>
      <c r="D49" s="269">
        <f>BI6+BI7</f>
        <v>6.2475000000000004E-3</v>
      </c>
      <c r="E49" s="269">
        <f t="shared" ref="E49" si="7">E33</f>
        <v>6.2475000000000004E-3</v>
      </c>
    </row>
    <row r="50" spans="3:5" ht="19.5" customHeight="1" x14ac:dyDescent="0.2">
      <c r="C50" s="25" t="str">
        <f t="shared" si="6"/>
        <v>3. Gestión del Desempeño</v>
      </c>
      <c r="D50" s="269">
        <f>BI8+BI9+BI10+BI11</f>
        <v>7.0000000000000007E-2</v>
      </c>
      <c r="E50" s="269">
        <f t="shared" ref="E50" si="8">E34</f>
        <v>7.0000000000000007E-2</v>
      </c>
    </row>
    <row r="51" spans="3:5" ht="19.5" customHeight="1" x14ac:dyDescent="0.2">
      <c r="C51" s="25" t="str">
        <f t="shared" si="6"/>
        <v>4. Capacitación</v>
      </c>
      <c r="D51" s="269">
        <f>BI12+BI13+BI14</f>
        <v>7.7493000000000006E-2</v>
      </c>
      <c r="E51" s="269">
        <f t="shared" ref="E51" si="9">E35</f>
        <v>7.7493000000000006E-2</v>
      </c>
    </row>
    <row r="52" spans="3:5" ht="19.5" customHeight="1" x14ac:dyDescent="0.2">
      <c r="C52" s="25" t="str">
        <f t="shared" si="6"/>
        <v>5. Bienestar</v>
      </c>
      <c r="D52" s="269">
        <f>BI15+BI16+BI17</f>
        <v>7.0000000000000007E-2</v>
      </c>
      <c r="E52" s="269">
        <f t="shared" ref="E52" si="10">E36</f>
        <v>7.0000000000000007E-2</v>
      </c>
    </row>
    <row r="53" spans="3:5" ht="24.75" customHeight="1" x14ac:dyDescent="0.2">
      <c r="C53" s="25" t="str">
        <f t="shared" si="6"/>
        <v>6. Sistema de Gestión de Seguridad  y Salud en el Trabajo</v>
      </c>
      <c r="D53" s="269">
        <f>BI18+BI19+BI20</f>
        <v>7.4999999999999997E-2</v>
      </c>
      <c r="E53" s="269">
        <f t="shared" ref="E53" si="11">E37</f>
        <v>7.4999999999999997E-2</v>
      </c>
    </row>
    <row r="54" spans="3:5" ht="19.5" customHeight="1" x14ac:dyDescent="0.2">
      <c r="C54" s="25" t="str">
        <f t="shared" si="6"/>
        <v>7. Administración del Talento Humano</v>
      </c>
      <c r="D54" s="269">
        <f>BI21+BI22+BI23+BI24+BI25+BI26</f>
        <v>5.3928571428571423E-2</v>
      </c>
      <c r="E54" s="269">
        <f t="shared" ref="E54" si="12">E38</f>
        <v>5.3928571428571423E-2</v>
      </c>
    </row>
    <row r="55" spans="3:5" ht="19.5" customHeight="1" x14ac:dyDescent="0.2">
      <c r="C55" s="25" t="str">
        <f t="shared" si="6"/>
        <v>8. Clima Organizaciones y Cambio Cultiral</v>
      </c>
      <c r="D55" s="269">
        <f>BI27</f>
        <v>0</v>
      </c>
      <c r="E55" s="269">
        <f t="shared" ref="E55" si="13">E39</f>
        <v>0</v>
      </c>
    </row>
    <row r="56" spans="3:5" ht="19.5" customHeight="1" x14ac:dyDescent="0.2">
      <c r="C56" s="25" t="str">
        <f t="shared" si="6"/>
        <v>9. Valores</v>
      </c>
      <c r="D56" s="269">
        <f>BI28</f>
        <v>1.2500000000000001E-2</v>
      </c>
      <c r="E56" s="269">
        <f t="shared" ref="E56" si="14">E40</f>
        <v>1.2500000000000001E-2</v>
      </c>
    </row>
    <row r="57" spans="3:5" x14ac:dyDescent="0.2">
      <c r="C57" s="868" t="s">
        <v>66</v>
      </c>
      <c r="D57" s="870">
        <f>SUM(D48:D56)</f>
        <v>0.37766407142857145</v>
      </c>
      <c r="E57" s="869">
        <f>E41</f>
        <v>0.37766407142857145</v>
      </c>
    </row>
  </sheetData>
  <mergeCells count="638">
    <mergeCell ref="A21:A24"/>
    <mergeCell ref="J22:K22"/>
    <mergeCell ref="BB11:BC11"/>
    <mergeCell ref="BB12:BC12"/>
    <mergeCell ref="BB15:BC15"/>
    <mergeCell ref="BB18:BC18"/>
    <mergeCell ref="BB17:BC17"/>
    <mergeCell ref="J19:K19"/>
    <mergeCell ref="BB19:BC19"/>
    <mergeCell ref="L11:M11"/>
    <mergeCell ref="N11:O11"/>
    <mergeCell ref="J12:K12"/>
    <mergeCell ref="J14:K14"/>
    <mergeCell ref="J15:K15"/>
    <mergeCell ref="J17:K17"/>
    <mergeCell ref="J18:K18"/>
    <mergeCell ref="P11:Q11"/>
    <mergeCell ref="R11:S11"/>
    <mergeCell ref="T11:U11"/>
    <mergeCell ref="V11:W11"/>
    <mergeCell ref="BB20:BC20"/>
    <mergeCell ref="BB21:BC21"/>
    <mergeCell ref="BB22:BC22"/>
    <mergeCell ref="J23:K23"/>
    <mergeCell ref="D3:D4"/>
    <mergeCell ref="A6:A7"/>
    <mergeCell ref="A8:A11"/>
    <mergeCell ref="A12:A14"/>
    <mergeCell ref="A15:A17"/>
    <mergeCell ref="A18:A20"/>
    <mergeCell ref="B6:B7"/>
    <mergeCell ref="B21:B24"/>
    <mergeCell ref="X11:Y11"/>
    <mergeCell ref="J20:K20"/>
    <mergeCell ref="J21:K21"/>
    <mergeCell ref="H24:I24"/>
    <mergeCell ref="P9:Q9"/>
    <mergeCell ref="R9:S9"/>
    <mergeCell ref="T9:U9"/>
    <mergeCell ref="V9:W9"/>
    <mergeCell ref="X9:Y9"/>
    <mergeCell ref="T8:U8"/>
    <mergeCell ref="V8:W8"/>
    <mergeCell ref="X8:Y8"/>
    <mergeCell ref="H3:K3"/>
    <mergeCell ref="G3:G4"/>
    <mergeCell ref="N5:O5"/>
    <mergeCell ref="P5:Q5"/>
    <mergeCell ref="BB23:BC23"/>
    <mergeCell ref="J24:K24"/>
    <mergeCell ref="BB24:BC24"/>
    <mergeCell ref="B18:B20"/>
    <mergeCell ref="H11:I11"/>
    <mergeCell ref="H12:I12"/>
    <mergeCell ref="H13:I13"/>
    <mergeCell ref="H14:I14"/>
    <mergeCell ref="H15:I15"/>
    <mergeCell ref="H16:I16"/>
    <mergeCell ref="J13:K13"/>
    <mergeCell ref="X20:Y20"/>
    <mergeCell ref="Z20:AA20"/>
    <mergeCell ref="AB20:AC20"/>
    <mergeCell ref="L20:M20"/>
    <mergeCell ref="N20:O20"/>
    <mergeCell ref="P20:Q20"/>
    <mergeCell ref="R20:S20"/>
    <mergeCell ref="H17:I17"/>
    <mergeCell ref="B8:B11"/>
    <mergeCell ref="B12:B14"/>
    <mergeCell ref="AP10:AQ10"/>
    <mergeCell ref="AR10:AS10"/>
    <mergeCell ref="Z10:AA10"/>
    <mergeCell ref="AB10:AC10"/>
    <mergeCell ref="N10:O10"/>
    <mergeCell ref="P10:Q10"/>
    <mergeCell ref="R10:S10"/>
    <mergeCell ref="T10:U10"/>
    <mergeCell ref="V10:W10"/>
    <mergeCell ref="X10:Y10"/>
    <mergeCell ref="R12:S12"/>
    <mergeCell ref="N9:O9"/>
    <mergeCell ref="J16:K16"/>
    <mergeCell ref="B15:B17"/>
    <mergeCell ref="AD10:AE10"/>
    <mergeCell ref="AF10:AG10"/>
    <mergeCell ref="AN11:AO11"/>
    <mergeCell ref="H9:I9"/>
    <mergeCell ref="Z9:AA9"/>
    <mergeCell ref="AB9:AC9"/>
    <mergeCell ref="AD9:AE9"/>
    <mergeCell ref="AF9:AG9"/>
    <mergeCell ref="AH9:AI9"/>
    <mergeCell ref="AF11:AG11"/>
    <mergeCell ref="AH11:AI11"/>
    <mergeCell ref="AJ11:AK11"/>
    <mergeCell ref="AN10:AO10"/>
    <mergeCell ref="J11:K11"/>
    <mergeCell ref="Z11:AA11"/>
    <mergeCell ref="AB11:AC11"/>
    <mergeCell ref="AD11:AE11"/>
    <mergeCell ref="L17:M17"/>
    <mergeCell ref="N17:O17"/>
    <mergeCell ref="P17:Q17"/>
    <mergeCell ref="R17:S17"/>
    <mergeCell ref="T17:U17"/>
    <mergeCell ref="H25:I25"/>
    <mergeCell ref="H10:I10"/>
    <mergeCell ref="J25:K25"/>
    <mergeCell ref="AP26:AQ26"/>
    <mergeCell ref="AR26:AS26"/>
    <mergeCell ref="AJ10:AK10"/>
    <mergeCell ref="J10:K10"/>
    <mergeCell ref="L10:M10"/>
    <mergeCell ref="H26:I26"/>
    <mergeCell ref="H19:I19"/>
    <mergeCell ref="H20:I20"/>
    <mergeCell ref="H21:I21"/>
    <mergeCell ref="H22:I22"/>
    <mergeCell ref="H23:I23"/>
    <mergeCell ref="H18:I18"/>
    <mergeCell ref="L12:M12"/>
    <mergeCell ref="L16:M16"/>
    <mergeCell ref="L18:M18"/>
    <mergeCell ref="AF26:AG26"/>
    <mergeCell ref="AH26:AI26"/>
    <mergeCell ref="AJ26:AK26"/>
    <mergeCell ref="AL26:AM26"/>
    <mergeCell ref="AN26:AO26"/>
    <mergeCell ref="L26:M26"/>
    <mergeCell ref="BB27:BC27"/>
    <mergeCell ref="AP27:AQ27"/>
    <mergeCell ref="AR27:AS27"/>
    <mergeCell ref="AT27:AU27"/>
    <mergeCell ref="AV27:AW27"/>
    <mergeCell ref="AB28:AC28"/>
    <mergeCell ref="L6:M6"/>
    <mergeCell ref="N6:O6"/>
    <mergeCell ref="P6:Q6"/>
    <mergeCell ref="R6:S6"/>
    <mergeCell ref="T6:U6"/>
    <mergeCell ref="V6:W6"/>
    <mergeCell ref="X6:Y6"/>
    <mergeCell ref="Z6:AA6"/>
    <mergeCell ref="AB6:AC6"/>
    <mergeCell ref="BB28:BC28"/>
    <mergeCell ref="AL28:AM28"/>
    <mergeCell ref="AN28:AO28"/>
    <mergeCell ref="AP28:AQ28"/>
    <mergeCell ref="AR28:AS28"/>
    <mergeCell ref="AT28:AU28"/>
    <mergeCell ref="AX10:AY10"/>
    <mergeCell ref="AX26:AY26"/>
    <mergeCell ref="AT26:AU26"/>
    <mergeCell ref="T28:U28"/>
    <mergeCell ref="V28:W28"/>
    <mergeCell ref="X28:Y28"/>
    <mergeCell ref="Z28:AA28"/>
    <mergeCell ref="AV28:AW28"/>
    <mergeCell ref="AX27:AY27"/>
    <mergeCell ref="AZ27:BA27"/>
    <mergeCell ref="AD28:AE28"/>
    <mergeCell ref="AF28:AG28"/>
    <mergeCell ref="AH28:AI28"/>
    <mergeCell ref="AJ28:AK28"/>
    <mergeCell ref="AX28:AY28"/>
    <mergeCell ref="AZ28:BA28"/>
    <mergeCell ref="AJ27:AK27"/>
    <mergeCell ref="AL27:AM27"/>
    <mergeCell ref="AD27:AE27"/>
    <mergeCell ref="AZ10:BA10"/>
    <mergeCell ref="BB10:BC10"/>
    <mergeCell ref="V26:W26"/>
    <mergeCell ref="X26:Y26"/>
    <mergeCell ref="Z26:AA26"/>
    <mergeCell ref="AB26:AC26"/>
    <mergeCell ref="H28:I28"/>
    <mergeCell ref="J28:K28"/>
    <mergeCell ref="L28:M28"/>
    <mergeCell ref="N28:O28"/>
    <mergeCell ref="P28:Q28"/>
    <mergeCell ref="N27:O27"/>
    <mergeCell ref="P27:Q27"/>
    <mergeCell ref="H27:I27"/>
    <mergeCell ref="J27:K27"/>
    <mergeCell ref="L27:M27"/>
    <mergeCell ref="AN27:AO27"/>
    <mergeCell ref="AF27:AG27"/>
    <mergeCell ref="AH27:AI27"/>
    <mergeCell ref="V27:W27"/>
    <mergeCell ref="X27:Y27"/>
    <mergeCell ref="Z27:AA27"/>
    <mergeCell ref="R28:S28"/>
    <mergeCell ref="J26:K26"/>
    <mergeCell ref="N26:O26"/>
    <mergeCell ref="P26:Q26"/>
    <mergeCell ref="R26:S26"/>
    <mergeCell ref="T26:U26"/>
    <mergeCell ref="R27:S27"/>
    <mergeCell ref="T27:U27"/>
    <mergeCell ref="AB27:AC27"/>
    <mergeCell ref="AD26:AE26"/>
    <mergeCell ref="AL10:AM10"/>
    <mergeCell ref="AD20:AE20"/>
    <mergeCell ref="V12:W12"/>
    <mergeCell ref="X12:Y12"/>
    <mergeCell ref="Z12:AA12"/>
    <mergeCell ref="AB12:AC12"/>
    <mergeCell ref="AD12:AE12"/>
    <mergeCell ref="AD13:AE13"/>
    <mergeCell ref="P14:Q14"/>
    <mergeCell ref="R14:S14"/>
    <mergeCell ref="T14:U14"/>
    <mergeCell ref="V14:W14"/>
    <mergeCell ref="V17:W17"/>
    <mergeCell ref="X17:Y17"/>
    <mergeCell ref="Z17:AA17"/>
    <mergeCell ref="AB17:AC17"/>
    <mergeCell ref="AT10:AU10"/>
    <mergeCell ref="AF12:AG12"/>
    <mergeCell ref="AH12:AI12"/>
    <mergeCell ref="AJ12:AK12"/>
    <mergeCell ref="AL12:AM12"/>
    <mergeCell ref="AJ20:AK20"/>
    <mergeCell ref="AL20:AM20"/>
    <mergeCell ref="AL11:AM11"/>
    <mergeCell ref="AJ14:AK14"/>
    <mergeCell ref="AL14:AM14"/>
    <mergeCell ref="AH16:AI16"/>
    <mergeCell ref="AJ16:AK16"/>
    <mergeCell ref="AF20:AG20"/>
    <mergeCell ref="AH20:AI20"/>
    <mergeCell ref="AF13:AG13"/>
    <mergeCell ref="AJ13:AK13"/>
    <mergeCell ref="AL13:AM13"/>
    <mergeCell ref="AN13:AO13"/>
    <mergeCell ref="AP15:AQ15"/>
    <mergeCell ref="AR15:AS15"/>
    <mergeCell ref="AT15:AU15"/>
    <mergeCell ref="AP11:AQ11"/>
    <mergeCell ref="AR11:AS11"/>
    <mergeCell ref="AT11:AU11"/>
    <mergeCell ref="BB9:BC9"/>
    <mergeCell ref="AJ9:AK9"/>
    <mergeCell ref="AL9:AM9"/>
    <mergeCell ref="AN9:AO9"/>
    <mergeCell ref="AP9:AQ9"/>
    <mergeCell ref="AR9:AS9"/>
    <mergeCell ref="AZ26:BA26"/>
    <mergeCell ref="BB26:BC26"/>
    <mergeCell ref="AH10:AI10"/>
    <mergeCell ref="AT9:AU9"/>
    <mergeCell ref="AV9:AW9"/>
    <mergeCell ref="AX9:AY9"/>
    <mergeCell ref="AZ9:BA9"/>
    <mergeCell ref="AV26:AW26"/>
    <mergeCell ref="BB16:BC16"/>
    <mergeCell ref="BB13:BC13"/>
    <mergeCell ref="BB14:BC14"/>
    <mergeCell ref="AV11:AW11"/>
    <mergeCell ref="AX11:AY11"/>
    <mergeCell ref="AZ11:BA11"/>
    <mergeCell ref="AV10:AW10"/>
    <mergeCell ref="BB25:BC25"/>
    <mergeCell ref="AZ13:BA13"/>
    <mergeCell ref="AH13:AI13"/>
    <mergeCell ref="R7:S7"/>
    <mergeCell ref="T7:U7"/>
    <mergeCell ref="V7:W7"/>
    <mergeCell ref="X7:Y7"/>
    <mergeCell ref="AF8:AG8"/>
    <mergeCell ref="AH8:AI8"/>
    <mergeCell ref="AJ8:AK8"/>
    <mergeCell ref="H8:I8"/>
    <mergeCell ref="J8:K8"/>
    <mergeCell ref="L8:M8"/>
    <mergeCell ref="N8:O8"/>
    <mergeCell ref="P8:Q8"/>
    <mergeCell ref="Z7:AA7"/>
    <mergeCell ref="N7:O7"/>
    <mergeCell ref="P7:Q7"/>
    <mergeCell ref="AD7:AE7"/>
    <mergeCell ref="AF7:AG7"/>
    <mergeCell ref="AH7:AI7"/>
    <mergeCell ref="R8:S8"/>
    <mergeCell ref="Z8:AA8"/>
    <mergeCell ref="AB8:AC8"/>
    <mergeCell ref="AB7:AC7"/>
    <mergeCell ref="AZ8:BA8"/>
    <mergeCell ref="BB8:BC8"/>
    <mergeCell ref="AX8:AY8"/>
    <mergeCell ref="AJ7:AK7"/>
    <mergeCell ref="AX7:AY7"/>
    <mergeCell ref="AL8:AM8"/>
    <mergeCell ref="AN8:AO8"/>
    <mergeCell ref="AV7:AW7"/>
    <mergeCell ref="AP8:AQ8"/>
    <mergeCell ref="BB6:BC6"/>
    <mergeCell ref="AN6:AO6"/>
    <mergeCell ref="AP6:AQ6"/>
    <mergeCell ref="AR6:AS6"/>
    <mergeCell ref="AT6:AU6"/>
    <mergeCell ref="AD8:AE8"/>
    <mergeCell ref="AL7:AM7"/>
    <mergeCell ref="AN7:AO7"/>
    <mergeCell ref="AP7:AQ7"/>
    <mergeCell ref="AR7:AS7"/>
    <mergeCell ref="AT7:AU7"/>
    <mergeCell ref="AZ7:BA7"/>
    <mergeCell ref="BB7:BC7"/>
    <mergeCell ref="AD6:AE6"/>
    <mergeCell ref="AF6:AG6"/>
    <mergeCell ref="AH6:AI6"/>
    <mergeCell ref="AJ6:AK6"/>
    <mergeCell ref="AL6:AM6"/>
    <mergeCell ref="AV6:AW6"/>
    <mergeCell ref="AX6:AY6"/>
    <mergeCell ref="AZ6:BA6"/>
    <mergeCell ref="AR8:AS8"/>
    <mergeCell ref="AT8:AU8"/>
    <mergeCell ref="AV8:AW8"/>
    <mergeCell ref="AN5:AO5"/>
    <mergeCell ref="AP5:AQ5"/>
    <mergeCell ref="AR5:AS5"/>
    <mergeCell ref="AT5:AU5"/>
    <mergeCell ref="AB5:AC5"/>
    <mergeCell ref="AD5:AE5"/>
    <mergeCell ref="AF5:AG5"/>
    <mergeCell ref="AH5:AI5"/>
    <mergeCell ref="AJ5:AK5"/>
    <mergeCell ref="H6:I6"/>
    <mergeCell ref="V5:W5"/>
    <mergeCell ref="X5:Y5"/>
    <mergeCell ref="Z5:AA5"/>
    <mergeCell ref="AV5:AW5"/>
    <mergeCell ref="BB5:BC5"/>
    <mergeCell ref="AZ4:BA4"/>
    <mergeCell ref="BB4:BC4"/>
    <mergeCell ref="AJ4:AK4"/>
    <mergeCell ref="AL4:AM4"/>
    <mergeCell ref="AN4:AO4"/>
    <mergeCell ref="AP4:AQ4"/>
    <mergeCell ref="AR4:AS4"/>
    <mergeCell ref="AT4:AU4"/>
    <mergeCell ref="AV4:AW4"/>
    <mergeCell ref="H5:I5"/>
    <mergeCell ref="J5:K5"/>
    <mergeCell ref="L5:M5"/>
    <mergeCell ref="R5:S5"/>
    <mergeCell ref="T5:U5"/>
    <mergeCell ref="AX5:AY5"/>
    <mergeCell ref="AZ5:BA5"/>
    <mergeCell ref="AX4:AY4"/>
    <mergeCell ref="AL5:AM5"/>
    <mergeCell ref="AF3:AI3"/>
    <mergeCell ref="AN3:AQ3"/>
    <mergeCell ref="AZ3:BC3"/>
    <mergeCell ref="AR3:AU3"/>
    <mergeCell ref="AV3:AY3"/>
    <mergeCell ref="AJ3:AM3"/>
    <mergeCell ref="L24:M24"/>
    <mergeCell ref="L25:M25"/>
    <mergeCell ref="A3:A4"/>
    <mergeCell ref="C3:C4"/>
    <mergeCell ref="B3:B4"/>
    <mergeCell ref="E3:E4"/>
    <mergeCell ref="H7:I7"/>
    <mergeCell ref="J7:K7"/>
    <mergeCell ref="L7:M7"/>
    <mergeCell ref="J6:K6"/>
    <mergeCell ref="J9:K9"/>
    <mergeCell ref="L9:M9"/>
    <mergeCell ref="AF4:AG4"/>
    <mergeCell ref="AH4:AI4"/>
    <mergeCell ref="P4:Q4"/>
    <mergeCell ref="R4:S4"/>
    <mergeCell ref="T4:U4"/>
    <mergeCell ref="V4:W4"/>
    <mergeCell ref="P3:S3"/>
    <mergeCell ref="L3:O3"/>
    <mergeCell ref="F3:F4"/>
    <mergeCell ref="T3:W3"/>
    <mergeCell ref="X3:AA3"/>
    <mergeCell ref="AB3:AE3"/>
    <mergeCell ref="X4:Y4"/>
    <mergeCell ref="AB4:AC4"/>
    <mergeCell ref="AD4:AE4"/>
    <mergeCell ref="Z4:AA4"/>
    <mergeCell ref="H4:I4"/>
    <mergeCell ref="J4:K4"/>
    <mergeCell ref="L4:M4"/>
    <mergeCell ref="N4:O4"/>
    <mergeCell ref="AZ12:BA12"/>
    <mergeCell ref="L13:M13"/>
    <mergeCell ref="N13:O13"/>
    <mergeCell ref="P13:Q13"/>
    <mergeCell ref="R13:S13"/>
    <mergeCell ref="T13:U13"/>
    <mergeCell ref="V13:W13"/>
    <mergeCell ref="X13:Y13"/>
    <mergeCell ref="Z13:AA13"/>
    <mergeCell ref="AB13:AC13"/>
    <mergeCell ref="AN12:AO12"/>
    <mergeCell ref="AP12:AQ12"/>
    <mergeCell ref="AR12:AS12"/>
    <mergeCell ref="AT12:AU12"/>
    <mergeCell ref="AV12:AW12"/>
    <mergeCell ref="AX12:AY12"/>
    <mergeCell ref="T12:U12"/>
    <mergeCell ref="AP13:AQ13"/>
    <mergeCell ref="AR13:AS13"/>
    <mergeCell ref="AT13:AU13"/>
    <mergeCell ref="AV13:AW13"/>
    <mergeCell ref="AX13:AY13"/>
    <mergeCell ref="N12:O12"/>
    <mergeCell ref="P12:Q12"/>
    <mergeCell ref="AZ14:BA14"/>
    <mergeCell ref="L15:M15"/>
    <mergeCell ref="N15:O15"/>
    <mergeCell ref="P15:Q15"/>
    <mergeCell ref="R15:S15"/>
    <mergeCell ref="T15:U15"/>
    <mergeCell ref="V15:W15"/>
    <mergeCell ref="X15:Y15"/>
    <mergeCell ref="Z15:AA15"/>
    <mergeCell ref="AB15:AC15"/>
    <mergeCell ref="AN14:AO14"/>
    <mergeCell ref="AP14:AQ14"/>
    <mergeCell ref="AR14:AS14"/>
    <mergeCell ref="AT14:AU14"/>
    <mergeCell ref="AV14:AW14"/>
    <mergeCell ref="AX14:AY14"/>
    <mergeCell ref="X14:Y14"/>
    <mergeCell ref="Z14:AA14"/>
    <mergeCell ref="AB14:AC14"/>
    <mergeCell ref="AD14:AE14"/>
    <mergeCell ref="AF14:AG14"/>
    <mergeCell ref="AH14:AI14"/>
    <mergeCell ref="L14:M14"/>
    <mergeCell ref="N14:O14"/>
    <mergeCell ref="AV15:AW15"/>
    <mergeCell ref="AX15:AY15"/>
    <mergeCell ref="AZ15:BA15"/>
    <mergeCell ref="AD15:AE15"/>
    <mergeCell ref="AF15:AG15"/>
    <mergeCell ref="AH15:AI15"/>
    <mergeCell ref="AJ15:AK15"/>
    <mergeCell ref="AL15:AM15"/>
    <mergeCell ref="AN15:AO15"/>
    <mergeCell ref="N16:O16"/>
    <mergeCell ref="P16:Q16"/>
    <mergeCell ref="R16:S16"/>
    <mergeCell ref="T16:U16"/>
    <mergeCell ref="AD17:AE17"/>
    <mergeCell ref="AF17:AG17"/>
    <mergeCell ref="Z16:AA16"/>
    <mergeCell ref="AB16:AC16"/>
    <mergeCell ref="AD16:AE16"/>
    <mergeCell ref="V16:W16"/>
    <mergeCell ref="X16:Y16"/>
    <mergeCell ref="AT17:AU17"/>
    <mergeCell ref="AV17:AW17"/>
    <mergeCell ref="AX17:AY17"/>
    <mergeCell ref="AZ17:BA17"/>
    <mergeCell ref="AF16:AG16"/>
    <mergeCell ref="AH18:AI18"/>
    <mergeCell ref="AJ18:AK18"/>
    <mergeCell ref="AL18:AM18"/>
    <mergeCell ref="AN18:AO18"/>
    <mergeCell ref="AP18:AQ18"/>
    <mergeCell ref="AH17:AI17"/>
    <mergeCell ref="AJ17:AK17"/>
    <mergeCell ref="AL17:AM17"/>
    <mergeCell ref="AN17:AO17"/>
    <mergeCell ref="AP17:AQ17"/>
    <mergeCell ref="AR17:AS17"/>
    <mergeCell ref="AX16:AY16"/>
    <mergeCell ref="AZ16:BA16"/>
    <mergeCell ref="AL16:AM16"/>
    <mergeCell ref="AN16:AO16"/>
    <mergeCell ref="AP16:AQ16"/>
    <mergeCell ref="AR16:AS16"/>
    <mergeCell ref="AT16:AU16"/>
    <mergeCell ref="AV16:AW16"/>
    <mergeCell ref="L19:M19"/>
    <mergeCell ref="N19:O19"/>
    <mergeCell ref="P19:Q19"/>
    <mergeCell ref="R19:S19"/>
    <mergeCell ref="T19:U19"/>
    <mergeCell ref="V19:W19"/>
    <mergeCell ref="AR18:AS18"/>
    <mergeCell ref="AT18:AU18"/>
    <mergeCell ref="AV18:AW18"/>
    <mergeCell ref="N18:O18"/>
    <mergeCell ref="P18:Q18"/>
    <mergeCell ref="R18:S18"/>
    <mergeCell ref="T18:U18"/>
    <mergeCell ref="V18:W18"/>
    <mergeCell ref="X18:Y18"/>
    <mergeCell ref="Z18:AA18"/>
    <mergeCell ref="X19:Y19"/>
    <mergeCell ref="Z19:AA19"/>
    <mergeCell ref="AB19:AC19"/>
    <mergeCell ref="AD19:AE19"/>
    <mergeCell ref="AF19:AG19"/>
    <mergeCell ref="AH19:AI19"/>
    <mergeCell ref="AB18:AC18"/>
    <mergeCell ref="AD18:AE18"/>
    <mergeCell ref="AV19:AW19"/>
    <mergeCell ref="AX19:AY19"/>
    <mergeCell ref="AZ19:BA19"/>
    <mergeCell ref="AF18:AG18"/>
    <mergeCell ref="AN20:AO20"/>
    <mergeCell ref="AP20:AQ20"/>
    <mergeCell ref="AR20:AS20"/>
    <mergeCell ref="AT20:AU20"/>
    <mergeCell ref="AV20:AW20"/>
    <mergeCell ref="AX20:AY20"/>
    <mergeCell ref="AJ19:AK19"/>
    <mergeCell ref="AL19:AM19"/>
    <mergeCell ref="AN19:AO19"/>
    <mergeCell ref="AP19:AQ19"/>
    <mergeCell ref="AR19:AS19"/>
    <mergeCell ref="AT19:AU19"/>
    <mergeCell ref="AZ18:BA18"/>
    <mergeCell ref="AX18:AY18"/>
    <mergeCell ref="AZ21:BA21"/>
    <mergeCell ref="AD21:AE21"/>
    <mergeCell ref="AF21:AG21"/>
    <mergeCell ref="AH21:AI21"/>
    <mergeCell ref="AJ21:AK21"/>
    <mergeCell ref="AL21:AM21"/>
    <mergeCell ref="AN21:AO21"/>
    <mergeCell ref="AZ20:BA20"/>
    <mergeCell ref="L21:M21"/>
    <mergeCell ref="N21:O21"/>
    <mergeCell ref="P21:Q21"/>
    <mergeCell ref="R21:S21"/>
    <mergeCell ref="T21:U21"/>
    <mergeCell ref="V21:W21"/>
    <mergeCell ref="X21:Y21"/>
    <mergeCell ref="Z21:AA21"/>
    <mergeCell ref="AB21:AC21"/>
    <mergeCell ref="T20:U20"/>
    <mergeCell ref="V20:W20"/>
    <mergeCell ref="P22:Q22"/>
    <mergeCell ref="R22:S22"/>
    <mergeCell ref="T22:U22"/>
    <mergeCell ref="V22:W22"/>
    <mergeCell ref="AP21:AQ21"/>
    <mergeCell ref="AR21:AS21"/>
    <mergeCell ref="AT21:AU21"/>
    <mergeCell ref="AV21:AW21"/>
    <mergeCell ref="AX21:AY21"/>
    <mergeCell ref="AV22:AW22"/>
    <mergeCell ref="AX22:AY22"/>
    <mergeCell ref="AZ22:BA22"/>
    <mergeCell ref="L23:M23"/>
    <mergeCell ref="N23:O23"/>
    <mergeCell ref="P23:Q23"/>
    <mergeCell ref="R23:S23"/>
    <mergeCell ref="T23:U23"/>
    <mergeCell ref="V23:W23"/>
    <mergeCell ref="X23:Y23"/>
    <mergeCell ref="AJ22:AK22"/>
    <mergeCell ref="AL22:AM22"/>
    <mergeCell ref="AN22:AO22"/>
    <mergeCell ref="AP22:AQ22"/>
    <mergeCell ref="AR22:AS22"/>
    <mergeCell ref="AT22:AU22"/>
    <mergeCell ref="X22:Y22"/>
    <mergeCell ref="Z22:AA22"/>
    <mergeCell ref="AB22:AC22"/>
    <mergeCell ref="AD22:AE22"/>
    <mergeCell ref="AF22:AG22"/>
    <mergeCell ref="AH22:AI22"/>
    <mergeCell ref="L22:M22"/>
    <mergeCell ref="N22:O22"/>
    <mergeCell ref="AX23:AY23"/>
    <mergeCell ref="AZ23:BA23"/>
    <mergeCell ref="AN23:AO23"/>
    <mergeCell ref="AP23:AQ23"/>
    <mergeCell ref="AR23:AS23"/>
    <mergeCell ref="AT23:AU23"/>
    <mergeCell ref="AV23:AW23"/>
    <mergeCell ref="Z23:AA23"/>
    <mergeCell ref="AB23:AC23"/>
    <mergeCell ref="AD23:AE23"/>
    <mergeCell ref="AF23:AG23"/>
    <mergeCell ref="AH23:AI23"/>
    <mergeCell ref="AJ23:AK23"/>
    <mergeCell ref="AL23:AM23"/>
    <mergeCell ref="AN24:AO24"/>
    <mergeCell ref="AR25:AS25"/>
    <mergeCell ref="N25:O25"/>
    <mergeCell ref="P25:Q25"/>
    <mergeCell ref="R25:S25"/>
    <mergeCell ref="T25:U25"/>
    <mergeCell ref="V25:W25"/>
    <mergeCell ref="X25:Y25"/>
    <mergeCell ref="Z25:AA25"/>
    <mergeCell ref="AB25:AC25"/>
    <mergeCell ref="AD25:AE25"/>
    <mergeCell ref="N24:O24"/>
    <mergeCell ref="P24:Q24"/>
    <mergeCell ref="R24:S24"/>
    <mergeCell ref="T24:U24"/>
    <mergeCell ref="V24:W24"/>
    <mergeCell ref="X24:Y24"/>
    <mergeCell ref="Z24:AA24"/>
    <mergeCell ref="AB24:AC24"/>
    <mergeCell ref="AF24:AG24"/>
    <mergeCell ref="AH24:AI24"/>
    <mergeCell ref="AJ24:AK24"/>
    <mergeCell ref="AL24:AM24"/>
    <mergeCell ref="BD3:BD4"/>
    <mergeCell ref="BE3:BE4"/>
    <mergeCell ref="BF3:BF4"/>
    <mergeCell ref="BG3:BG4"/>
    <mergeCell ref="BH3:BH4"/>
    <mergeCell ref="A25:A27"/>
    <mergeCell ref="B25:B27"/>
    <mergeCell ref="AF25:AG25"/>
    <mergeCell ref="AH25:AI25"/>
    <mergeCell ref="AJ25:AK25"/>
    <mergeCell ref="AL25:AM25"/>
    <mergeCell ref="AN25:AO25"/>
    <mergeCell ref="AP25:AQ25"/>
    <mergeCell ref="AP24:AQ24"/>
    <mergeCell ref="AR24:AS24"/>
    <mergeCell ref="AT24:AU24"/>
    <mergeCell ref="AV24:AW24"/>
    <mergeCell ref="AX24:AY24"/>
    <mergeCell ref="AZ24:BA24"/>
    <mergeCell ref="AT25:AU25"/>
    <mergeCell ref="AV25:AW25"/>
    <mergeCell ref="AX25:AY25"/>
    <mergeCell ref="AZ25:BA25"/>
    <mergeCell ref="AD24:AE24"/>
  </mergeCells>
  <conditionalFormatting sqref="BF5:BF28">
    <cfRule type="cellIs" dxfId="151"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44"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topLeftCell="E7" zoomScale="55" zoomScaleNormal="55" zoomScaleSheetLayoutView="100" workbookViewId="0">
      <selection activeCell="BF5" sqref="BF5:BF18"/>
    </sheetView>
  </sheetViews>
  <sheetFormatPr baseColWidth="10" defaultRowHeight="12.75" x14ac:dyDescent="0.2"/>
  <cols>
    <col min="1" max="1" width="34" style="27" customWidth="1"/>
    <col min="2" max="2" width="23" style="2" customWidth="1"/>
    <col min="3" max="3" width="49.85546875" style="27" customWidth="1"/>
    <col min="4" max="4" width="29.5703125" style="27" customWidth="1"/>
    <col min="5" max="5" width="35.28515625" style="27" customWidth="1"/>
    <col min="6" max="6" width="23.42578125" style="27" customWidth="1"/>
    <col min="7" max="7" width="13.85546875" style="27" customWidth="1"/>
    <col min="8" max="55" width="3.5703125" style="27" customWidth="1"/>
    <col min="56" max="56" width="10" style="27" customWidth="1"/>
    <col min="57" max="57" width="10.7109375" style="27" customWidth="1"/>
    <col min="58" max="60" width="11.42578125" style="27" customWidth="1"/>
    <col min="61" max="16384" width="11.42578125" style="27"/>
  </cols>
  <sheetData>
    <row r="1" spans="1:61" ht="15" x14ac:dyDescent="0.2">
      <c r="H1" s="28"/>
    </row>
    <row r="2" spans="1:61" ht="15.75" thickBot="1" x14ac:dyDescent="0.25">
      <c r="H2" s="28"/>
    </row>
    <row r="3" spans="1:61" ht="48" customHeight="1" x14ac:dyDescent="0.2">
      <c r="A3" s="1208" t="s">
        <v>0</v>
      </c>
      <c r="B3" s="919" t="s">
        <v>1</v>
      </c>
      <c r="C3" s="1210" t="s">
        <v>2</v>
      </c>
      <c r="D3" s="1210" t="s">
        <v>3</v>
      </c>
      <c r="E3" s="1210" t="s">
        <v>4</v>
      </c>
      <c r="F3" s="1210" t="s">
        <v>5</v>
      </c>
      <c r="G3" s="1208" t="s">
        <v>6</v>
      </c>
      <c r="H3" s="1215" t="s">
        <v>7</v>
      </c>
      <c r="I3" s="1213"/>
      <c r="J3" s="1213"/>
      <c r="K3" s="1214"/>
      <c r="L3" s="1213" t="s">
        <v>8</v>
      </c>
      <c r="M3" s="1213"/>
      <c r="N3" s="1213"/>
      <c r="O3" s="1214"/>
      <c r="P3" s="1213" t="s">
        <v>9</v>
      </c>
      <c r="Q3" s="1213"/>
      <c r="R3" s="1213"/>
      <c r="S3" s="1214"/>
      <c r="T3" s="1213" t="s">
        <v>10</v>
      </c>
      <c r="U3" s="1213"/>
      <c r="V3" s="1213"/>
      <c r="W3" s="1214"/>
      <c r="X3" s="1213" t="s">
        <v>11</v>
      </c>
      <c r="Y3" s="1213"/>
      <c r="Z3" s="1213"/>
      <c r="AA3" s="1214"/>
      <c r="AB3" s="1213" t="s">
        <v>12</v>
      </c>
      <c r="AC3" s="1213"/>
      <c r="AD3" s="1213"/>
      <c r="AE3" s="1214"/>
      <c r="AF3" s="1213" t="s">
        <v>13</v>
      </c>
      <c r="AG3" s="1213"/>
      <c r="AH3" s="1213"/>
      <c r="AI3" s="1214"/>
      <c r="AJ3" s="1213" t="s">
        <v>14</v>
      </c>
      <c r="AK3" s="1213"/>
      <c r="AL3" s="1213"/>
      <c r="AM3" s="1214"/>
      <c r="AN3" s="1213" t="s">
        <v>15</v>
      </c>
      <c r="AO3" s="1213"/>
      <c r="AP3" s="1213"/>
      <c r="AQ3" s="1214"/>
      <c r="AR3" s="1213" t="s">
        <v>16</v>
      </c>
      <c r="AS3" s="1213"/>
      <c r="AT3" s="1213"/>
      <c r="AU3" s="1214"/>
      <c r="AV3" s="1213" t="s">
        <v>17</v>
      </c>
      <c r="AW3" s="1213"/>
      <c r="AX3" s="1213"/>
      <c r="AY3" s="1214"/>
      <c r="AZ3" s="1213" t="s">
        <v>18</v>
      </c>
      <c r="BA3" s="1213"/>
      <c r="BB3" s="1213"/>
      <c r="BC3" s="1214"/>
      <c r="BD3" s="1071" t="s">
        <v>66</v>
      </c>
      <c r="BE3" s="1073" t="s">
        <v>67</v>
      </c>
      <c r="BF3" s="1139" t="s">
        <v>68</v>
      </c>
      <c r="BG3" s="1141" t="s">
        <v>69</v>
      </c>
      <c r="BH3" s="1079" t="s">
        <v>241</v>
      </c>
    </row>
    <row r="4" spans="1:61" ht="85.5" customHeight="1" thickBot="1" x14ac:dyDescent="0.25">
      <c r="A4" s="1209"/>
      <c r="B4" s="920"/>
      <c r="C4" s="1211"/>
      <c r="D4" s="1211"/>
      <c r="E4" s="1211"/>
      <c r="F4" s="1211"/>
      <c r="G4" s="1209"/>
      <c r="H4" s="1204" t="s">
        <v>19</v>
      </c>
      <c r="I4" s="1205"/>
      <c r="J4" s="1206" t="s">
        <v>20</v>
      </c>
      <c r="K4" s="1207"/>
      <c r="L4" s="1204" t="s">
        <v>19</v>
      </c>
      <c r="M4" s="1205"/>
      <c r="N4" s="1206" t="s">
        <v>20</v>
      </c>
      <c r="O4" s="1207"/>
      <c r="P4" s="1204" t="s">
        <v>19</v>
      </c>
      <c r="Q4" s="1205"/>
      <c r="R4" s="1206" t="s">
        <v>20</v>
      </c>
      <c r="S4" s="1207"/>
      <c r="T4" s="1204" t="s">
        <v>19</v>
      </c>
      <c r="U4" s="1205"/>
      <c r="V4" s="1206" t="s">
        <v>20</v>
      </c>
      <c r="W4" s="1207"/>
      <c r="X4" s="1204" t="s">
        <v>19</v>
      </c>
      <c r="Y4" s="1205"/>
      <c r="Z4" s="1206" t="s">
        <v>20</v>
      </c>
      <c r="AA4" s="1207"/>
      <c r="AB4" s="1204" t="s">
        <v>19</v>
      </c>
      <c r="AC4" s="1205"/>
      <c r="AD4" s="1206" t="s">
        <v>20</v>
      </c>
      <c r="AE4" s="1207"/>
      <c r="AF4" s="1204" t="s">
        <v>19</v>
      </c>
      <c r="AG4" s="1205"/>
      <c r="AH4" s="1206" t="s">
        <v>20</v>
      </c>
      <c r="AI4" s="1207"/>
      <c r="AJ4" s="1204" t="s">
        <v>19</v>
      </c>
      <c r="AK4" s="1205"/>
      <c r="AL4" s="1206" t="s">
        <v>20</v>
      </c>
      <c r="AM4" s="1207"/>
      <c r="AN4" s="1204" t="s">
        <v>19</v>
      </c>
      <c r="AO4" s="1205"/>
      <c r="AP4" s="1206" t="s">
        <v>20</v>
      </c>
      <c r="AQ4" s="1207"/>
      <c r="AR4" s="1204" t="s">
        <v>19</v>
      </c>
      <c r="AS4" s="1205"/>
      <c r="AT4" s="1206" t="s">
        <v>20</v>
      </c>
      <c r="AU4" s="1207"/>
      <c r="AV4" s="1204" t="s">
        <v>19</v>
      </c>
      <c r="AW4" s="1205"/>
      <c r="AX4" s="1206" t="s">
        <v>20</v>
      </c>
      <c r="AY4" s="1207"/>
      <c r="AZ4" s="1204" t="s">
        <v>19</v>
      </c>
      <c r="BA4" s="1205"/>
      <c r="BB4" s="1206" t="s">
        <v>20</v>
      </c>
      <c r="BC4" s="1207"/>
      <c r="BD4" s="1072"/>
      <c r="BE4" s="1074"/>
      <c r="BF4" s="1140"/>
      <c r="BG4" s="1142"/>
      <c r="BH4" s="1080"/>
    </row>
    <row r="5" spans="1:61" ht="63.75" customHeight="1" thickBot="1" x14ac:dyDescent="0.25">
      <c r="A5" s="1279" t="s">
        <v>322</v>
      </c>
      <c r="B5" s="1280">
        <v>0.12</v>
      </c>
      <c r="C5" s="150" t="s">
        <v>323</v>
      </c>
      <c r="D5" s="150" t="s">
        <v>324</v>
      </c>
      <c r="E5" s="151" t="s">
        <v>325</v>
      </c>
      <c r="F5" s="152">
        <v>0.1</v>
      </c>
      <c r="G5" s="153" t="s">
        <v>109</v>
      </c>
      <c r="H5" s="1265">
        <v>0</v>
      </c>
      <c r="I5" s="1265"/>
      <c r="J5" s="1275"/>
      <c r="K5" s="1275"/>
      <c r="L5" s="1265"/>
      <c r="M5" s="1265"/>
      <c r="N5" s="1275"/>
      <c r="O5" s="1275"/>
      <c r="P5" s="1277">
        <v>1</v>
      </c>
      <c r="Q5" s="1277"/>
      <c r="R5" s="1278">
        <v>1</v>
      </c>
      <c r="S5" s="1278"/>
      <c r="T5" s="1265"/>
      <c r="U5" s="1265"/>
      <c r="V5" s="1265"/>
      <c r="W5" s="1265"/>
      <c r="X5" s="1265"/>
      <c r="Y5" s="1265"/>
      <c r="Z5" s="1275"/>
      <c r="AA5" s="1275"/>
      <c r="AB5" s="1265"/>
      <c r="AC5" s="1265"/>
      <c r="AD5" s="1275"/>
      <c r="AE5" s="1275"/>
      <c r="AF5" s="1265"/>
      <c r="AG5" s="1265"/>
      <c r="AH5" s="1275"/>
      <c r="AI5" s="1275"/>
      <c r="AJ5" s="1265"/>
      <c r="AK5" s="1265"/>
      <c r="AL5" s="1275"/>
      <c r="AM5" s="1275"/>
      <c r="AN5" s="1265"/>
      <c r="AO5" s="1265"/>
      <c r="AP5" s="1275"/>
      <c r="AQ5" s="1275"/>
      <c r="AR5" s="1265"/>
      <c r="AS5" s="1265"/>
      <c r="AT5" s="1275"/>
      <c r="AU5" s="1275"/>
      <c r="AV5" s="1265"/>
      <c r="AW5" s="1265"/>
      <c r="AX5" s="1275"/>
      <c r="AY5" s="1275"/>
      <c r="AZ5" s="1265"/>
      <c r="BA5" s="1265"/>
      <c r="BB5" s="1275"/>
      <c r="BC5" s="1276"/>
      <c r="BD5" s="129">
        <f>H5+L5+P5+T5+X5+AB5+AF5+AJ5+AN5+AR5+AV5+AZ5</f>
        <v>1</v>
      </c>
      <c r="BE5" s="162">
        <f>J5+N5+R5+V5+Z5+AD5+AH5+AL5+AP5+AT5+AX5+BB5</f>
        <v>1</v>
      </c>
      <c r="BF5" s="131">
        <f>BD5/BE5</f>
        <v>1</v>
      </c>
      <c r="BG5" s="132">
        <f>F5*BF5</f>
        <v>0.1</v>
      </c>
      <c r="BH5" s="133">
        <f>F5</f>
        <v>0.1</v>
      </c>
      <c r="BI5" s="257">
        <f>((J5+N5+R5)/BE5)*BH5</f>
        <v>0.1</v>
      </c>
    </row>
    <row r="6" spans="1:61" ht="38.25" customHeight="1" thickBot="1" x14ac:dyDescent="0.25">
      <c r="A6" s="1011"/>
      <c r="B6" s="1270"/>
      <c r="C6" s="25" t="s">
        <v>326</v>
      </c>
      <c r="D6" s="25" t="s">
        <v>327</v>
      </c>
      <c r="E6" s="154" t="s">
        <v>328</v>
      </c>
      <c r="F6" s="155">
        <v>0.02</v>
      </c>
      <c r="G6" s="100" t="s">
        <v>115</v>
      </c>
      <c r="H6" s="998">
        <v>0</v>
      </c>
      <c r="I6" s="998"/>
      <c r="J6" s="1226"/>
      <c r="K6" s="1226"/>
      <c r="L6" s="998"/>
      <c r="M6" s="998"/>
      <c r="N6" s="1226"/>
      <c r="O6" s="1226"/>
      <c r="P6" s="1009">
        <v>1</v>
      </c>
      <c r="Q6" s="1009"/>
      <c r="R6" s="992">
        <v>1</v>
      </c>
      <c r="S6" s="992"/>
      <c r="T6" s="998"/>
      <c r="U6" s="998"/>
      <c r="V6" s="998"/>
      <c r="W6" s="998"/>
      <c r="X6" s="998"/>
      <c r="Y6" s="998"/>
      <c r="Z6" s="1226"/>
      <c r="AA6" s="1226"/>
      <c r="AB6" s="998"/>
      <c r="AC6" s="998"/>
      <c r="AD6" s="1226"/>
      <c r="AE6" s="1226"/>
      <c r="AF6" s="998"/>
      <c r="AG6" s="998"/>
      <c r="AH6" s="1226"/>
      <c r="AI6" s="1226"/>
      <c r="AJ6" s="998"/>
      <c r="AK6" s="998"/>
      <c r="AL6" s="1226"/>
      <c r="AM6" s="1226"/>
      <c r="AN6" s="998"/>
      <c r="AO6" s="998"/>
      <c r="AP6" s="1226"/>
      <c r="AQ6" s="1226"/>
      <c r="AR6" s="998"/>
      <c r="AS6" s="998"/>
      <c r="AT6" s="1226"/>
      <c r="AU6" s="1226"/>
      <c r="AV6" s="998"/>
      <c r="AW6" s="998"/>
      <c r="AX6" s="1226"/>
      <c r="AY6" s="1226"/>
      <c r="AZ6" s="1265"/>
      <c r="BA6" s="1265"/>
      <c r="BB6" s="1226"/>
      <c r="BC6" s="1240"/>
      <c r="BD6" s="129">
        <f t="shared" ref="BD6:BD18" si="0">H6+L6+P6+T6+X6+AB6+AF6+AJ6+AN6+AR6+AV6+AZ6</f>
        <v>1</v>
      </c>
      <c r="BE6" s="162">
        <f t="shared" ref="BE6:BE18" si="1">J6+N6+R6+V6+Z6+AD6+AH6+AL6+AP6+AT6+AX6+BB6</f>
        <v>1</v>
      </c>
      <c r="BF6" s="131">
        <f t="shared" ref="BF6:BF18" si="2">BD6/BE6</f>
        <v>1</v>
      </c>
      <c r="BG6" s="132">
        <f t="shared" ref="BG6:BG18" si="3">F6*BF6</f>
        <v>0.02</v>
      </c>
      <c r="BH6" s="133">
        <f t="shared" ref="BH6:BH18" si="4">F6</f>
        <v>0.02</v>
      </c>
      <c r="BI6" s="257">
        <f t="shared" ref="BI6:BI18" si="5">((J6+N6+R6)/BE6)*BH6</f>
        <v>0.02</v>
      </c>
    </row>
    <row r="7" spans="1:61" ht="64.5" thickBot="1" x14ac:dyDescent="0.25">
      <c r="A7" s="1011" t="s">
        <v>329</v>
      </c>
      <c r="B7" s="1270">
        <v>0.38</v>
      </c>
      <c r="C7" s="25" t="s">
        <v>330</v>
      </c>
      <c r="D7" s="25" t="s">
        <v>331</v>
      </c>
      <c r="E7" s="154" t="s">
        <v>332</v>
      </c>
      <c r="F7" s="156">
        <v>0.05</v>
      </c>
      <c r="G7" s="100">
        <v>2.1</v>
      </c>
      <c r="H7" s="998">
        <v>0</v>
      </c>
      <c r="I7" s="998"/>
      <c r="J7" s="1226"/>
      <c r="K7" s="1226"/>
      <c r="L7" s="998"/>
      <c r="M7" s="998"/>
      <c r="N7" s="1226"/>
      <c r="O7" s="1226"/>
      <c r="P7" s="998"/>
      <c r="Q7" s="998"/>
      <c r="R7" s="1226"/>
      <c r="S7" s="1226"/>
      <c r="T7" s="998"/>
      <c r="U7" s="998"/>
      <c r="V7" s="1226"/>
      <c r="W7" s="1226"/>
      <c r="X7" s="998"/>
      <c r="Y7" s="998"/>
      <c r="Z7" s="1226"/>
      <c r="AA7" s="1226"/>
      <c r="AB7" s="998"/>
      <c r="AC7" s="998"/>
      <c r="AD7" s="1226"/>
      <c r="AE7" s="1226"/>
      <c r="AF7" s="998"/>
      <c r="AG7" s="998"/>
      <c r="AH7" s="992">
        <v>1</v>
      </c>
      <c r="AI7" s="992"/>
      <c r="AJ7" s="998"/>
      <c r="AK7" s="998"/>
      <c r="AL7" s="1226"/>
      <c r="AM7" s="1226"/>
      <c r="AN7" s="998"/>
      <c r="AO7" s="998"/>
      <c r="AP7" s="1226"/>
      <c r="AQ7" s="1226"/>
      <c r="AR7" s="998"/>
      <c r="AS7" s="998"/>
      <c r="AT7" s="1226"/>
      <c r="AU7" s="1226"/>
      <c r="AV7" s="998"/>
      <c r="AW7" s="998"/>
      <c r="AX7" s="1226"/>
      <c r="AY7" s="1226"/>
      <c r="AZ7" s="1265"/>
      <c r="BA7" s="1265"/>
      <c r="BB7" s="1226"/>
      <c r="BC7" s="1240"/>
      <c r="BD7" s="129">
        <f t="shared" si="0"/>
        <v>0</v>
      </c>
      <c r="BE7" s="162">
        <f t="shared" si="1"/>
        <v>1</v>
      </c>
      <c r="BF7" s="131">
        <f t="shared" si="2"/>
        <v>0</v>
      </c>
      <c r="BG7" s="132">
        <f t="shared" si="3"/>
        <v>0</v>
      </c>
      <c r="BH7" s="133">
        <f t="shared" si="4"/>
        <v>0.05</v>
      </c>
      <c r="BI7" s="257">
        <f t="shared" si="5"/>
        <v>0</v>
      </c>
    </row>
    <row r="8" spans="1:61" ht="51.75" thickBot="1" x14ac:dyDescent="0.25">
      <c r="A8" s="1011"/>
      <c r="B8" s="1270"/>
      <c r="C8" s="25" t="s">
        <v>333</v>
      </c>
      <c r="D8" s="25" t="s">
        <v>334</v>
      </c>
      <c r="E8" s="154" t="s">
        <v>335</v>
      </c>
      <c r="F8" s="155">
        <v>0.09</v>
      </c>
      <c r="G8" s="100">
        <v>2.2000000000000002</v>
      </c>
      <c r="H8" s="1009">
        <v>0</v>
      </c>
      <c r="I8" s="1009"/>
      <c r="J8" s="992">
        <v>1</v>
      </c>
      <c r="K8" s="992"/>
      <c r="L8" s="998"/>
      <c r="M8" s="998"/>
      <c r="N8" s="1226"/>
      <c r="O8" s="1226"/>
      <c r="P8" s="998"/>
      <c r="Q8" s="998"/>
      <c r="R8" s="1226"/>
      <c r="S8" s="1226"/>
      <c r="T8" s="998"/>
      <c r="U8" s="998"/>
      <c r="V8" s="992">
        <v>1</v>
      </c>
      <c r="W8" s="992"/>
      <c r="X8" s="998"/>
      <c r="Y8" s="998"/>
      <c r="Z8" s="1226"/>
      <c r="AA8" s="1226"/>
      <c r="AB8" s="998"/>
      <c r="AC8" s="998"/>
      <c r="AD8" s="1226"/>
      <c r="AE8" s="1226"/>
      <c r="AF8" s="998"/>
      <c r="AG8" s="998"/>
      <c r="AH8" s="992">
        <v>1</v>
      </c>
      <c r="AI8" s="992"/>
      <c r="AJ8" s="998"/>
      <c r="AK8" s="998"/>
      <c r="AL8" s="1226"/>
      <c r="AM8" s="1226"/>
      <c r="AN8" s="998"/>
      <c r="AO8" s="998"/>
      <c r="AP8" s="1226"/>
      <c r="AQ8" s="1226"/>
      <c r="AR8" s="998"/>
      <c r="AS8" s="998"/>
      <c r="AT8" s="992">
        <v>1</v>
      </c>
      <c r="AU8" s="992"/>
      <c r="AV8" s="998"/>
      <c r="AW8" s="998"/>
      <c r="AX8" s="1226"/>
      <c r="AY8" s="1226"/>
      <c r="AZ8" s="1265"/>
      <c r="BA8" s="1265"/>
      <c r="BB8" s="1226"/>
      <c r="BC8" s="1240"/>
      <c r="BD8" s="129">
        <f t="shared" si="0"/>
        <v>0</v>
      </c>
      <c r="BE8" s="162">
        <f t="shared" si="1"/>
        <v>4</v>
      </c>
      <c r="BF8" s="131">
        <f t="shared" si="2"/>
        <v>0</v>
      </c>
      <c r="BG8" s="132">
        <f t="shared" si="3"/>
        <v>0</v>
      </c>
      <c r="BH8" s="133">
        <f t="shared" si="4"/>
        <v>0.09</v>
      </c>
      <c r="BI8" s="257">
        <f t="shared" si="5"/>
        <v>2.2499999999999999E-2</v>
      </c>
    </row>
    <row r="9" spans="1:61" ht="38.25" customHeight="1" thickBot="1" x14ac:dyDescent="0.25">
      <c r="A9" s="1011"/>
      <c r="B9" s="1270"/>
      <c r="C9" s="1273" t="s">
        <v>336</v>
      </c>
      <c r="D9" s="25" t="s">
        <v>337</v>
      </c>
      <c r="E9" s="154" t="s">
        <v>338</v>
      </c>
      <c r="F9" s="155">
        <v>0.1</v>
      </c>
      <c r="G9" s="1272">
        <v>2.2999999999999998</v>
      </c>
      <c r="H9" s="998">
        <v>0</v>
      </c>
      <c r="I9" s="998"/>
      <c r="J9" s="998"/>
      <c r="K9" s="998"/>
      <c r="L9" s="1009">
        <v>3</v>
      </c>
      <c r="M9" s="1009"/>
      <c r="N9" s="992">
        <v>3</v>
      </c>
      <c r="O9" s="992"/>
      <c r="P9" s="1009">
        <v>0</v>
      </c>
      <c r="Q9" s="1009"/>
      <c r="R9" s="992">
        <v>3</v>
      </c>
      <c r="S9" s="992"/>
      <c r="T9" s="998"/>
      <c r="U9" s="998"/>
      <c r="V9" s="992">
        <v>4</v>
      </c>
      <c r="W9" s="992"/>
      <c r="X9" s="998"/>
      <c r="Y9" s="998"/>
      <c r="Z9" s="992">
        <v>3</v>
      </c>
      <c r="AA9" s="992"/>
      <c r="AB9" s="998"/>
      <c r="AC9" s="998"/>
      <c r="AD9" s="992">
        <v>3</v>
      </c>
      <c r="AE9" s="992"/>
      <c r="AF9" s="998"/>
      <c r="AG9" s="998"/>
      <c r="AH9" s="992">
        <v>3</v>
      </c>
      <c r="AI9" s="992"/>
      <c r="AJ9" s="998"/>
      <c r="AK9" s="998"/>
      <c r="AL9" s="992">
        <v>4</v>
      </c>
      <c r="AM9" s="992"/>
      <c r="AN9" s="998"/>
      <c r="AO9" s="998"/>
      <c r="AP9" s="992">
        <v>3</v>
      </c>
      <c r="AQ9" s="992"/>
      <c r="AR9" s="998"/>
      <c r="AS9" s="998"/>
      <c r="AT9" s="992">
        <v>3</v>
      </c>
      <c r="AU9" s="992"/>
      <c r="AV9" s="998"/>
      <c r="AW9" s="998"/>
      <c r="AX9" s="992">
        <v>3</v>
      </c>
      <c r="AY9" s="992"/>
      <c r="AZ9" s="1265"/>
      <c r="BA9" s="1265"/>
      <c r="BB9" s="992">
        <v>4</v>
      </c>
      <c r="BC9" s="1239"/>
      <c r="BD9" s="129">
        <f t="shared" si="0"/>
        <v>3</v>
      </c>
      <c r="BE9" s="162">
        <f t="shared" si="1"/>
        <v>36</v>
      </c>
      <c r="BF9" s="131">
        <f t="shared" si="2"/>
        <v>8.3333333333333329E-2</v>
      </c>
      <c r="BG9" s="132">
        <f t="shared" si="3"/>
        <v>8.3333333333333332E-3</v>
      </c>
      <c r="BH9" s="133">
        <f t="shared" si="4"/>
        <v>0.1</v>
      </c>
      <c r="BI9" s="257">
        <f t="shared" si="5"/>
        <v>1.6666666666666666E-2</v>
      </c>
    </row>
    <row r="10" spans="1:61" ht="26.25" thickBot="1" x14ac:dyDescent="0.25">
      <c r="A10" s="1011"/>
      <c r="B10" s="1270"/>
      <c r="C10" s="1274"/>
      <c r="D10" s="154" t="s">
        <v>339</v>
      </c>
      <c r="E10" s="157" t="s">
        <v>340</v>
      </c>
      <c r="F10" s="155">
        <v>7.0000000000000007E-2</v>
      </c>
      <c r="G10" s="1272"/>
      <c r="H10" s="998">
        <v>0</v>
      </c>
      <c r="I10" s="998"/>
      <c r="J10" s="1226"/>
      <c r="K10" s="1226"/>
      <c r="L10" s="998"/>
      <c r="M10" s="998"/>
      <c r="N10" s="1226"/>
      <c r="O10" s="1226"/>
      <c r="P10" s="998"/>
      <c r="Q10" s="998"/>
      <c r="R10" s="992">
        <v>1</v>
      </c>
      <c r="S10" s="992"/>
      <c r="T10" s="998"/>
      <c r="U10" s="998"/>
      <c r="V10" s="1226"/>
      <c r="W10" s="1226"/>
      <c r="X10" s="998"/>
      <c r="Y10" s="998"/>
      <c r="Z10" s="1226"/>
      <c r="AA10" s="1226"/>
      <c r="AB10" s="998"/>
      <c r="AC10" s="998"/>
      <c r="AD10" s="992">
        <v>1</v>
      </c>
      <c r="AE10" s="992"/>
      <c r="AF10" s="998"/>
      <c r="AG10" s="998"/>
      <c r="AH10" s="1226"/>
      <c r="AI10" s="1226"/>
      <c r="AJ10" s="998"/>
      <c r="AK10" s="998"/>
      <c r="AL10" s="1226"/>
      <c r="AM10" s="1226"/>
      <c r="AN10" s="998"/>
      <c r="AO10" s="998"/>
      <c r="AP10" s="992">
        <v>1</v>
      </c>
      <c r="AQ10" s="992"/>
      <c r="AR10" s="998"/>
      <c r="AS10" s="998"/>
      <c r="AT10" s="1226"/>
      <c r="AU10" s="1226"/>
      <c r="AV10" s="998"/>
      <c r="AW10" s="998"/>
      <c r="AX10" s="1226"/>
      <c r="AY10" s="1226"/>
      <c r="AZ10" s="1265"/>
      <c r="BA10" s="1265"/>
      <c r="BB10" s="1226"/>
      <c r="BC10" s="1240"/>
      <c r="BD10" s="129">
        <f t="shared" si="0"/>
        <v>0</v>
      </c>
      <c r="BE10" s="162">
        <f t="shared" si="1"/>
        <v>3</v>
      </c>
      <c r="BF10" s="131">
        <f t="shared" si="2"/>
        <v>0</v>
      </c>
      <c r="BG10" s="132">
        <f t="shared" si="3"/>
        <v>0</v>
      </c>
      <c r="BH10" s="133">
        <f t="shared" si="4"/>
        <v>7.0000000000000007E-2</v>
      </c>
      <c r="BI10" s="257">
        <f t="shared" si="5"/>
        <v>2.3333333333333334E-2</v>
      </c>
    </row>
    <row r="11" spans="1:61" ht="26.25" thickBot="1" x14ac:dyDescent="0.25">
      <c r="A11" s="1011"/>
      <c r="B11" s="1270"/>
      <c r="C11" s="1271" t="s">
        <v>341</v>
      </c>
      <c r="D11" s="154" t="s">
        <v>342</v>
      </c>
      <c r="E11" s="154" t="s">
        <v>343</v>
      </c>
      <c r="F11" s="155">
        <v>0.05</v>
      </c>
      <c r="G11" s="1272" t="s">
        <v>136</v>
      </c>
      <c r="H11" s="1009">
        <v>2</v>
      </c>
      <c r="I11" s="1009"/>
      <c r="J11" s="992">
        <v>2</v>
      </c>
      <c r="K11" s="992"/>
      <c r="L11" s="1009">
        <v>1</v>
      </c>
      <c r="M11" s="1009"/>
      <c r="N11" s="992">
        <v>1</v>
      </c>
      <c r="O11" s="992"/>
      <c r="P11" s="1009">
        <v>2</v>
      </c>
      <c r="Q11" s="1009"/>
      <c r="R11" s="992">
        <v>2</v>
      </c>
      <c r="S11" s="992"/>
      <c r="T11" s="998"/>
      <c r="U11" s="998"/>
      <c r="V11" s="992">
        <v>1</v>
      </c>
      <c r="W11" s="992"/>
      <c r="X11" s="998"/>
      <c r="Y11" s="998"/>
      <c r="Z11" s="992">
        <v>2</v>
      </c>
      <c r="AA11" s="992"/>
      <c r="AB11" s="998"/>
      <c r="AC11" s="998"/>
      <c r="AD11" s="992">
        <v>1</v>
      </c>
      <c r="AE11" s="992"/>
      <c r="AF11" s="998"/>
      <c r="AG11" s="998"/>
      <c r="AH11" s="992">
        <v>2</v>
      </c>
      <c r="AI11" s="992"/>
      <c r="AJ11" s="998"/>
      <c r="AK11" s="998"/>
      <c r="AL11" s="992">
        <v>1</v>
      </c>
      <c r="AM11" s="992"/>
      <c r="AN11" s="998"/>
      <c r="AO11" s="998"/>
      <c r="AP11" s="992">
        <v>2</v>
      </c>
      <c r="AQ11" s="992"/>
      <c r="AR11" s="998"/>
      <c r="AS11" s="998"/>
      <c r="AT11" s="992">
        <v>1</v>
      </c>
      <c r="AU11" s="992"/>
      <c r="AV11" s="998"/>
      <c r="AW11" s="998"/>
      <c r="AX11" s="992">
        <v>2</v>
      </c>
      <c r="AY11" s="992"/>
      <c r="AZ11" s="1265"/>
      <c r="BA11" s="1265"/>
      <c r="BB11" s="992">
        <v>1</v>
      </c>
      <c r="BC11" s="1239"/>
      <c r="BD11" s="129">
        <f t="shared" si="0"/>
        <v>5</v>
      </c>
      <c r="BE11" s="162">
        <f t="shared" si="1"/>
        <v>18</v>
      </c>
      <c r="BF11" s="131">
        <f t="shared" si="2"/>
        <v>0.27777777777777779</v>
      </c>
      <c r="BG11" s="132">
        <f t="shared" si="3"/>
        <v>1.388888888888889E-2</v>
      </c>
      <c r="BH11" s="133">
        <f t="shared" si="4"/>
        <v>0.05</v>
      </c>
      <c r="BI11" s="257">
        <f t="shared" si="5"/>
        <v>1.388888888888889E-2</v>
      </c>
    </row>
    <row r="12" spans="1:61" ht="25.5" customHeight="1" thickBot="1" x14ac:dyDescent="0.25">
      <c r="A12" s="1011"/>
      <c r="B12" s="1270"/>
      <c r="C12" s="1271"/>
      <c r="D12" s="154" t="s">
        <v>344</v>
      </c>
      <c r="E12" s="154" t="s">
        <v>345</v>
      </c>
      <c r="F12" s="155">
        <v>0.02</v>
      </c>
      <c r="G12" s="1272"/>
      <c r="H12" s="998">
        <v>0</v>
      </c>
      <c r="I12" s="998"/>
      <c r="J12" s="1226"/>
      <c r="K12" s="1226"/>
      <c r="L12" s="998"/>
      <c r="M12" s="998"/>
      <c r="N12" s="1226"/>
      <c r="O12" s="1226"/>
      <c r="P12" s="998"/>
      <c r="Q12" s="998"/>
      <c r="R12" s="992">
        <v>2</v>
      </c>
      <c r="S12" s="992"/>
      <c r="T12" s="998"/>
      <c r="U12" s="998"/>
      <c r="V12" s="1226"/>
      <c r="W12" s="1226"/>
      <c r="X12" s="998"/>
      <c r="Y12" s="998"/>
      <c r="Z12" s="1226"/>
      <c r="AA12" s="1226"/>
      <c r="AB12" s="998"/>
      <c r="AC12" s="998"/>
      <c r="AD12" s="998"/>
      <c r="AE12" s="998"/>
      <c r="AF12" s="998"/>
      <c r="AG12" s="998"/>
      <c r="AH12" s="1226"/>
      <c r="AI12" s="1226"/>
      <c r="AJ12" s="998"/>
      <c r="AK12" s="998"/>
      <c r="AL12" s="1226"/>
      <c r="AM12" s="1226"/>
      <c r="AN12" s="998"/>
      <c r="AO12" s="998"/>
      <c r="AP12" s="992">
        <v>1</v>
      </c>
      <c r="AQ12" s="992"/>
      <c r="AR12" s="998"/>
      <c r="AS12" s="998"/>
      <c r="AT12" s="1226"/>
      <c r="AU12" s="1226"/>
      <c r="AV12" s="998"/>
      <c r="AW12" s="998"/>
      <c r="AX12" s="1226"/>
      <c r="AY12" s="1226"/>
      <c r="AZ12" s="1265"/>
      <c r="BA12" s="1265"/>
      <c r="BB12" s="1226"/>
      <c r="BC12" s="1240"/>
      <c r="BD12" s="129">
        <f t="shared" si="0"/>
        <v>0</v>
      </c>
      <c r="BE12" s="162">
        <f t="shared" si="1"/>
        <v>3</v>
      </c>
      <c r="BF12" s="131">
        <f t="shared" si="2"/>
        <v>0</v>
      </c>
      <c r="BG12" s="132">
        <f t="shared" si="3"/>
        <v>0</v>
      </c>
      <c r="BH12" s="133">
        <f t="shared" si="4"/>
        <v>0.02</v>
      </c>
      <c r="BI12" s="257">
        <f t="shared" si="5"/>
        <v>1.3333333333333332E-2</v>
      </c>
    </row>
    <row r="13" spans="1:61" ht="64.5" thickBot="1" x14ac:dyDescent="0.25">
      <c r="A13" s="1011" t="s">
        <v>346</v>
      </c>
      <c r="B13" s="1270">
        <v>0.25</v>
      </c>
      <c r="C13" s="154" t="s">
        <v>347</v>
      </c>
      <c r="D13" s="154" t="s">
        <v>348</v>
      </c>
      <c r="E13" s="154" t="s">
        <v>349</v>
      </c>
      <c r="F13" s="155">
        <v>0.05</v>
      </c>
      <c r="G13" s="100" t="s">
        <v>198</v>
      </c>
      <c r="H13" s="1268">
        <v>8.3299999999999999E-2</v>
      </c>
      <c r="I13" s="1268"/>
      <c r="J13" s="1222">
        <v>8.3299999999999999E-2</v>
      </c>
      <c r="K13" s="992"/>
      <c r="L13" s="1269">
        <v>8.3299999999999999E-2</v>
      </c>
      <c r="M13" s="1269"/>
      <c r="N13" s="1222">
        <v>8.3299999999999999E-2</v>
      </c>
      <c r="O13" s="992"/>
      <c r="P13" s="1268">
        <v>8.3299999999999999E-2</v>
      </c>
      <c r="Q13" s="1268"/>
      <c r="R13" s="1222">
        <v>8.3299999999999999E-2</v>
      </c>
      <c r="S13" s="992"/>
      <c r="T13" s="998"/>
      <c r="U13" s="998"/>
      <c r="V13" s="1222">
        <v>8.3299999999999999E-2</v>
      </c>
      <c r="W13" s="992"/>
      <c r="X13" s="1226"/>
      <c r="Y13" s="1226"/>
      <c r="Z13" s="1222">
        <v>8.3299999999999999E-2</v>
      </c>
      <c r="AA13" s="992"/>
      <c r="AB13" s="998"/>
      <c r="AC13" s="998"/>
      <c r="AD13" s="1222">
        <v>8.3299999999999999E-2</v>
      </c>
      <c r="AE13" s="992"/>
      <c r="AF13" s="1226"/>
      <c r="AG13" s="1226"/>
      <c r="AH13" s="1222">
        <v>8.3299999999999999E-2</v>
      </c>
      <c r="AI13" s="992"/>
      <c r="AJ13" s="998"/>
      <c r="AK13" s="998"/>
      <c r="AL13" s="1222">
        <v>8.3299999999999999E-2</v>
      </c>
      <c r="AM13" s="992"/>
      <c r="AN13" s="1226"/>
      <c r="AO13" s="1226"/>
      <c r="AP13" s="1222">
        <v>8.3299999999999999E-2</v>
      </c>
      <c r="AQ13" s="992"/>
      <c r="AR13" s="998"/>
      <c r="AS13" s="998"/>
      <c r="AT13" s="1222">
        <v>8.3299999999999999E-2</v>
      </c>
      <c r="AU13" s="992"/>
      <c r="AV13" s="1226"/>
      <c r="AW13" s="1226"/>
      <c r="AX13" s="1222">
        <v>8.3299999999999999E-2</v>
      </c>
      <c r="AY13" s="992"/>
      <c r="AZ13" s="1265"/>
      <c r="BA13" s="1265"/>
      <c r="BB13" s="1222">
        <v>8.3299999999999999E-2</v>
      </c>
      <c r="BC13" s="1239"/>
      <c r="BD13" s="263">
        <f t="shared" si="0"/>
        <v>0.24990000000000001</v>
      </c>
      <c r="BE13" s="149">
        <f t="shared" si="1"/>
        <v>0.99960000000000016</v>
      </c>
      <c r="BF13" s="131">
        <f t="shared" si="2"/>
        <v>0.24999999999999997</v>
      </c>
      <c r="BG13" s="132">
        <f t="shared" si="3"/>
        <v>1.2499999999999999E-2</v>
      </c>
      <c r="BH13" s="133">
        <f t="shared" si="4"/>
        <v>0.05</v>
      </c>
      <c r="BI13" s="257">
        <f t="shared" si="5"/>
        <v>1.2499999999999999E-2</v>
      </c>
    </row>
    <row r="14" spans="1:61" ht="51.75" thickBot="1" x14ac:dyDescent="0.25">
      <c r="A14" s="1011"/>
      <c r="B14" s="1270"/>
      <c r="C14" s="154" t="s">
        <v>350</v>
      </c>
      <c r="D14" s="154" t="s">
        <v>351</v>
      </c>
      <c r="E14" s="154" t="s">
        <v>352</v>
      </c>
      <c r="F14" s="155">
        <v>0.1</v>
      </c>
      <c r="G14" s="100" t="s">
        <v>202</v>
      </c>
      <c r="H14" s="998">
        <v>1</v>
      </c>
      <c r="I14" s="998"/>
      <c r="J14" s="1226"/>
      <c r="K14" s="1226"/>
      <c r="L14" s="998"/>
      <c r="M14" s="998"/>
      <c r="N14" s="1226"/>
      <c r="O14" s="1226"/>
      <c r="P14" s="998"/>
      <c r="Q14" s="998"/>
      <c r="R14" s="992">
        <v>2</v>
      </c>
      <c r="S14" s="992"/>
      <c r="T14" s="998"/>
      <c r="U14" s="998"/>
      <c r="V14" s="1226"/>
      <c r="W14" s="1226"/>
      <c r="X14" s="998"/>
      <c r="Y14" s="998"/>
      <c r="Z14" s="1226"/>
      <c r="AA14" s="1226"/>
      <c r="AB14" s="998"/>
      <c r="AC14" s="998"/>
      <c r="AD14" s="992">
        <v>1</v>
      </c>
      <c r="AE14" s="992"/>
      <c r="AF14" s="998"/>
      <c r="AG14" s="998"/>
      <c r="AH14" s="1226"/>
      <c r="AI14" s="1226"/>
      <c r="AJ14" s="998"/>
      <c r="AK14" s="998"/>
      <c r="AL14" s="1226"/>
      <c r="AM14" s="1226"/>
      <c r="AN14" s="998"/>
      <c r="AO14" s="998"/>
      <c r="AP14" s="992">
        <v>1</v>
      </c>
      <c r="AQ14" s="992"/>
      <c r="AR14" s="998"/>
      <c r="AS14" s="998"/>
      <c r="AT14" s="1226"/>
      <c r="AU14" s="1226"/>
      <c r="AV14" s="998"/>
      <c r="AW14" s="998"/>
      <c r="AX14" s="1226"/>
      <c r="AY14" s="1226"/>
      <c r="AZ14" s="1265"/>
      <c r="BA14" s="1265"/>
      <c r="BB14" s="992">
        <v>1</v>
      </c>
      <c r="BC14" s="1239"/>
      <c r="BD14" s="129">
        <f t="shared" si="0"/>
        <v>1</v>
      </c>
      <c r="BE14" s="162">
        <f t="shared" si="1"/>
        <v>5</v>
      </c>
      <c r="BF14" s="131">
        <f t="shared" si="2"/>
        <v>0.2</v>
      </c>
      <c r="BG14" s="132">
        <f t="shared" si="3"/>
        <v>2.0000000000000004E-2</v>
      </c>
      <c r="BH14" s="133">
        <f t="shared" si="4"/>
        <v>0.1</v>
      </c>
      <c r="BI14" s="257">
        <f t="shared" si="5"/>
        <v>4.0000000000000008E-2</v>
      </c>
    </row>
    <row r="15" spans="1:61" ht="51" customHeight="1" thickBot="1" x14ac:dyDescent="0.25">
      <c r="A15" s="1011"/>
      <c r="B15" s="1270"/>
      <c r="C15" s="154" t="s">
        <v>353</v>
      </c>
      <c r="D15" s="154" t="s">
        <v>354</v>
      </c>
      <c r="E15" s="154" t="s">
        <v>355</v>
      </c>
      <c r="F15" s="155">
        <v>0.1</v>
      </c>
      <c r="G15" s="100" t="s">
        <v>356</v>
      </c>
      <c r="H15" s="1009">
        <v>2</v>
      </c>
      <c r="I15" s="1009"/>
      <c r="J15" s="992">
        <v>2</v>
      </c>
      <c r="K15" s="992"/>
      <c r="L15" s="1009">
        <v>2</v>
      </c>
      <c r="M15" s="1009"/>
      <c r="N15" s="992">
        <v>2</v>
      </c>
      <c r="O15" s="992"/>
      <c r="P15" s="1009">
        <v>2</v>
      </c>
      <c r="Q15" s="1009"/>
      <c r="R15" s="992">
        <v>2</v>
      </c>
      <c r="S15" s="992"/>
      <c r="T15" s="998"/>
      <c r="U15" s="998"/>
      <c r="V15" s="992">
        <v>2</v>
      </c>
      <c r="W15" s="992"/>
      <c r="X15" s="998"/>
      <c r="Y15" s="998"/>
      <c r="Z15" s="992">
        <v>2</v>
      </c>
      <c r="AA15" s="992"/>
      <c r="AB15" s="998"/>
      <c r="AC15" s="998"/>
      <c r="AD15" s="992">
        <v>2</v>
      </c>
      <c r="AE15" s="992"/>
      <c r="AF15" s="998"/>
      <c r="AG15" s="998"/>
      <c r="AH15" s="992">
        <v>2</v>
      </c>
      <c r="AI15" s="992"/>
      <c r="AJ15" s="998"/>
      <c r="AK15" s="998"/>
      <c r="AL15" s="992">
        <v>2</v>
      </c>
      <c r="AM15" s="992"/>
      <c r="AN15" s="998"/>
      <c r="AO15" s="998"/>
      <c r="AP15" s="992">
        <v>2</v>
      </c>
      <c r="AQ15" s="992"/>
      <c r="AR15" s="998"/>
      <c r="AS15" s="998"/>
      <c r="AT15" s="992">
        <v>2</v>
      </c>
      <c r="AU15" s="992"/>
      <c r="AV15" s="998"/>
      <c r="AW15" s="998"/>
      <c r="AX15" s="992">
        <v>2</v>
      </c>
      <c r="AY15" s="992"/>
      <c r="AZ15" s="1265"/>
      <c r="BA15" s="1265"/>
      <c r="BB15" s="992">
        <v>2</v>
      </c>
      <c r="BC15" s="1239"/>
      <c r="BD15" s="129">
        <f t="shared" si="0"/>
        <v>6</v>
      </c>
      <c r="BE15" s="162">
        <f t="shared" si="1"/>
        <v>24</v>
      </c>
      <c r="BF15" s="131">
        <f t="shared" si="2"/>
        <v>0.25</v>
      </c>
      <c r="BG15" s="132">
        <f t="shared" si="3"/>
        <v>2.5000000000000001E-2</v>
      </c>
      <c r="BH15" s="133">
        <f t="shared" si="4"/>
        <v>0.1</v>
      </c>
      <c r="BI15" s="257">
        <f t="shared" si="5"/>
        <v>2.5000000000000001E-2</v>
      </c>
    </row>
    <row r="16" spans="1:61" ht="90" thickBot="1" x14ac:dyDescent="0.25">
      <c r="A16" s="1011" t="s">
        <v>357</v>
      </c>
      <c r="B16" s="1270">
        <v>0.2</v>
      </c>
      <c r="C16" s="154" t="s">
        <v>358</v>
      </c>
      <c r="D16" s="154" t="s">
        <v>359</v>
      </c>
      <c r="E16" s="154" t="s">
        <v>360</v>
      </c>
      <c r="F16" s="155">
        <v>0.1</v>
      </c>
      <c r="G16" s="100" t="s">
        <v>207</v>
      </c>
      <c r="H16" s="1268">
        <v>8.3299999999999999E-2</v>
      </c>
      <c r="I16" s="1268"/>
      <c r="J16" s="1222">
        <v>8.3299999999999999E-2</v>
      </c>
      <c r="K16" s="992"/>
      <c r="L16" s="1269">
        <v>8.3299999999999999E-2</v>
      </c>
      <c r="M16" s="1269"/>
      <c r="N16" s="1222">
        <v>8.3299999999999999E-2</v>
      </c>
      <c r="O16" s="992"/>
      <c r="P16" s="1268">
        <v>8.3199999999999996E-2</v>
      </c>
      <c r="Q16" s="1268"/>
      <c r="R16" s="1222">
        <v>8.3299999999999999E-2</v>
      </c>
      <c r="S16" s="992"/>
      <c r="T16" s="998"/>
      <c r="U16" s="998"/>
      <c r="V16" s="1222">
        <v>8.3299999999999999E-2</v>
      </c>
      <c r="W16" s="992"/>
      <c r="X16" s="1226"/>
      <c r="Y16" s="1226"/>
      <c r="Z16" s="1222">
        <v>8.3299999999999999E-2</v>
      </c>
      <c r="AA16" s="992"/>
      <c r="AB16" s="998"/>
      <c r="AC16" s="998"/>
      <c r="AD16" s="1222">
        <v>8.3299999999999999E-2</v>
      </c>
      <c r="AE16" s="992"/>
      <c r="AF16" s="1226"/>
      <c r="AG16" s="1226"/>
      <c r="AH16" s="1222">
        <v>8.3299999999999999E-2</v>
      </c>
      <c r="AI16" s="992"/>
      <c r="AJ16" s="998"/>
      <c r="AK16" s="998"/>
      <c r="AL16" s="1222">
        <v>8.3299999999999999E-2</v>
      </c>
      <c r="AM16" s="992"/>
      <c r="AN16" s="1226"/>
      <c r="AO16" s="1226"/>
      <c r="AP16" s="1222">
        <v>8.3299999999999999E-2</v>
      </c>
      <c r="AQ16" s="992"/>
      <c r="AR16" s="998"/>
      <c r="AS16" s="998"/>
      <c r="AT16" s="1222">
        <v>8.3299999999999999E-2</v>
      </c>
      <c r="AU16" s="992"/>
      <c r="AV16" s="1226"/>
      <c r="AW16" s="1226"/>
      <c r="AX16" s="1222">
        <v>8.3299999999999999E-2</v>
      </c>
      <c r="AY16" s="992"/>
      <c r="AZ16" s="1265"/>
      <c r="BA16" s="1265"/>
      <c r="BB16" s="1222">
        <v>8.3299999999999999E-2</v>
      </c>
      <c r="BC16" s="1239"/>
      <c r="BD16" s="263">
        <f t="shared" si="0"/>
        <v>0.24979999999999999</v>
      </c>
      <c r="BE16" s="149">
        <f t="shared" si="1"/>
        <v>0.99960000000000016</v>
      </c>
      <c r="BF16" s="131">
        <f t="shared" si="2"/>
        <v>0.24989995998399356</v>
      </c>
      <c r="BG16" s="132">
        <f t="shared" si="3"/>
        <v>2.4989995998399357E-2</v>
      </c>
      <c r="BH16" s="133">
        <f t="shared" si="4"/>
        <v>0.1</v>
      </c>
      <c r="BI16" s="257">
        <f t="shared" si="5"/>
        <v>2.4999999999999998E-2</v>
      </c>
    </row>
    <row r="17" spans="1:61" ht="64.5" thickBot="1" x14ac:dyDescent="0.25">
      <c r="A17" s="1011"/>
      <c r="B17" s="1270"/>
      <c r="C17" s="154" t="s">
        <v>361</v>
      </c>
      <c r="D17" s="154" t="s">
        <v>362</v>
      </c>
      <c r="E17" s="154" t="s">
        <v>363</v>
      </c>
      <c r="F17" s="155">
        <v>0.1</v>
      </c>
      <c r="G17" s="100" t="s">
        <v>211</v>
      </c>
      <c r="H17" s="1268">
        <v>8.2960000000000006E-2</v>
      </c>
      <c r="I17" s="1268"/>
      <c r="J17" s="1222">
        <v>8.3299999999999999E-2</v>
      </c>
      <c r="K17" s="992"/>
      <c r="L17" s="1269">
        <v>8.3299999999999999E-2</v>
      </c>
      <c r="M17" s="1269"/>
      <c r="N17" s="1222">
        <v>8.3299999999999999E-2</v>
      </c>
      <c r="O17" s="992"/>
      <c r="P17" s="1268">
        <v>8.3199999999999996E-2</v>
      </c>
      <c r="Q17" s="1268"/>
      <c r="R17" s="1222">
        <v>8.3299999999999999E-2</v>
      </c>
      <c r="S17" s="992"/>
      <c r="T17" s="998"/>
      <c r="U17" s="998"/>
      <c r="V17" s="1222">
        <v>8.3299999999999999E-2</v>
      </c>
      <c r="W17" s="992"/>
      <c r="X17" s="1226"/>
      <c r="Y17" s="1226"/>
      <c r="Z17" s="1222">
        <v>8.3299999999999999E-2</v>
      </c>
      <c r="AA17" s="992"/>
      <c r="AB17" s="998"/>
      <c r="AC17" s="998"/>
      <c r="AD17" s="1222">
        <v>8.3299999999999999E-2</v>
      </c>
      <c r="AE17" s="992"/>
      <c r="AF17" s="1226"/>
      <c r="AG17" s="1226"/>
      <c r="AH17" s="1222">
        <v>8.3299999999999999E-2</v>
      </c>
      <c r="AI17" s="992"/>
      <c r="AJ17" s="998"/>
      <c r="AK17" s="998"/>
      <c r="AL17" s="1222">
        <v>8.3299999999999999E-2</v>
      </c>
      <c r="AM17" s="992"/>
      <c r="AN17" s="1226"/>
      <c r="AO17" s="1226"/>
      <c r="AP17" s="1222">
        <v>8.3299999999999999E-2</v>
      </c>
      <c r="AQ17" s="992"/>
      <c r="AR17" s="998"/>
      <c r="AS17" s="998"/>
      <c r="AT17" s="1222">
        <v>8.3299999999999999E-2</v>
      </c>
      <c r="AU17" s="992"/>
      <c r="AV17" s="1226"/>
      <c r="AW17" s="1226"/>
      <c r="AX17" s="1222">
        <v>8.3299999999999999E-2</v>
      </c>
      <c r="AY17" s="992"/>
      <c r="AZ17" s="1265"/>
      <c r="BA17" s="1265"/>
      <c r="BB17" s="1222">
        <v>8.3299999999999999E-2</v>
      </c>
      <c r="BC17" s="1239"/>
      <c r="BD17" s="263">
        <f t="shared" si="0"/>
        <v>0.24946000000000002</v>
      </c>
      <c r="BE17" s="149">
        <f t="shared" si="1"/>
        <v>0.99960000000000016</v>
      </c>
      <c r="BF17" s="131">
        <f t="shared" si="2"/>
        <v>0.24955982392957179</v>
      </c>
      <c r="BG17" s="132">
        <f t="shared" si="3"/>
        <v>2.4955982392957182E-2</v>
      </c>
      <c r="BH17" s="133">
        <f t="shared" si="4"/>
        <v>0.1</v>
      </c>
      <c r="BI17" s="257">
        <f t="shared" si="5"/>
        <v>2.4999999999999998E-2</v>
      </c>
    </row>
    <row r="18" spans="1:61" ht="77.25" thickBot="1" x14ac:dyDescent="0.25">
      <c r="A18" s="37" t="s">
        <v>364</v>
      </c>
      <c r="B18" s="158">
        <v>0.05</v>
      </c>
      <c r="C18" s="159" t="s">
        <v>365</v>
      </c>
      <c r="D18" s="159" t="s">
        <v>238</v>
      </c>
      <c r="E18" s="159" t="s">
        <v>366</v>
      </c>
      <c r="F18" s="160">
        <v>0.05</v>
      </c>
      <c r="G18" s="161" t="s">
        <v>222</v>
      </c>
      <c r="H18" s="1266">
        <v>8.3299999999999999E-2</v>
      </c>
      <c r="I18" s="1266"/>
      <c r="J18" s="1263">
        <v>8.3299999999999999E-2</v>
      </c>
      <c r="K18" s="1013"/>
      <c r="L18" s="1267">
        <v>8.3299999999999999E-2</v>
      </c>
      <c r="M18" s="1267"/>
      <c r="N18" s="1263">
        <v>8.3299999999999999E-2</v>
      </c>
      <c r="O18" s="1013"/>
      <c r="P18" s="1266">
        <v>8.3299999999999999E-2</v>
      </c>
      <c r="Q18" s="1266"/>
      <c r="R18" s="1263">
        <v>8.3299999999999999E-2</v>
      </c>
      <c r="S18" s="1013"/>
      <c r="T18" s="1016"/>
      <c r="U18" s="1016"/>
      <c r="V18" s="1263">
        <v>8.3299999999999999E-2</v>
      </c>
      <c r="W18" s="1013"/>
      <c r="X18" s="1245"/>
      <c r="Y18" s="1245"/>
      <c r="Z18" s="1263">
        <v>8.3299999999999999E-2</v>
      </c>
      <c r="AA18" s="1013"/>
      <c r="AB18" s="1016"/>
      <c r="AC18" s="1016"/>
      <c r="AD18" s="1263">
        <v>8.3299999999999999E-2</v>
      </c>
      <c r="AE18" s="1013"/>
      <c r="AF18" s="1245"/>
      <c r="AG18" s="1245"/>
      <c r="AH18" s="1263">
        <v>8.3299999999999999E-2</v>
      </c>
      <c r="AI18" s="1013"/>
      <c r="AJ18" s="1016"/>
      <c r="AK18" s="1016"/>
      <c r="AL18" s="1263">
        <v>8.3299999999999999E-2</v>
      </c>
      <c r="AM18" s="1013"/>
      <c r="AN18" s="1245"/>
      <c r="AO18" s="1245"/>
      <c r="AP18" s="1263">
        <v>8.3299999999999999E-2</v>
      </c>
      <c r="AQ18" s="1013"/>
      <c r="AR18" s="1016"/>
      <c r="AS18" s="1016"/>
      <c r="AT18" s="1263">
        <v>8.3299999999999999E-2</v>
      </c>
      <c r="AU18" s="1013"/>
      <c r="AV18" s="1245"/>
      <c r="AW18" s="1245"/>
      <c r="AX18" s="1263">
        <v>8.3299999999999999E-2</v>
      </c>
      <c r="AY18" s="1013"/>
      <c r="AZ18" s="1265"/>
      <c r="BA18" s="1265"/>
      <c r="BB18" s="1263">
        <v>8.3299999999999999E-2</v>
      </c>
      <c r="BC18" s="1264"/>
      <c r="BD18" s="263">
        <f t="shared" si="0"/>
        <v>0.24990000000000001</v>
      </c>
      <c r="BE18" s="149">
        <f t="shared" si="1"/>
        <v>0.99960000000000016</v>
      </c>
      <c r="BF18" s="131">
        <f t="shared" si="2"/>
        <v>0.24999999999999997</v>
      </c>
      <c r="BG18" s="132">
        <f t="shared" si="3"/>
        <v>1.2499999999999999E-2</v>
      </c>
      <c r="BH18" s="133">
        <f t="shared" si="4"/>
        <v>0.05</v>
      </c>
      <c r="BI18" s="257">
        <f t="shared" si="5"/>
        <v>1.2499999999999999E-2</v>
      </c>
    </row>
    <row r="19" spans="1:61" ht="35.25" customHeight="1" x14ac:dyDescent="0.2">
      <c r="BG19" s="259">
        <f>SUM(BG5:BG18)</f>
        <v>0.26216820061357882</v>
      </c>
      <c r="BI19" s="259">
        <f>SUM(BI5:BI18)</f>
        <v>0.34972222222222232</v>
      </c>
    </row>
    <row r="21" spans="1:61" ht="25.5" x14ac:dyDescent="0.2">
      <c r="C21" s="866" t="s">
        <v>71</v>
      </c>
      <c r="D21" s="867" t="s">
        <v>73</v>
      </c>
      <c r="E21" s="867" t="s">
        <v>72</v>
      </c>
    </row>
    <row r="22" spans="1:61" ht="38.25" x14ac:dyDescent="0.2">
      <c r="C22" s="25" t="str">
        <f>A5</f>
        <v>1. Elaborar en coordinación con el Grupo de Planeación y Estadística el Anteproyecto de Presupuesto de la Entidad</v>
      </c>
      <c r="D22" s="86">
        <f>B5</f>
        <v>0.12</v>
      </c>
      <c r="E22" s="26">
        <f>BG5+BG6</f>
        <v>0.12000000000000001</v>
      </c>
    </row>
    <row r="23" spans="1:61" ht="51" x14ac:dyDescent="0.2">
      <c r="C23" s="25" t="str">
        <f>A7</f>
        <v>2. Reportar información contable en condiciones de oportunidad y razonabilidad como insumo para informes a los diferentes entes de control y de interes para la ciudadania en general.</v>
      </c>
      <c r="D23" s="86">
        <f>B7</f>
        <v>0.38</v>
      </c>
      <c r="E23" s="26">
        <f>BG7+BG8+BG9+BG10+BG11+BG12</f>
        <v>2.2222222222222223E-2</v>
      </c>
    </row>
    <row r="24" spans="1:61" ht="38.25" x14ac:dyDescent="0.2">
      <c r="C24" s="25" t="str">
        <f>A13</f>
        <v>3. Consolidar información presupuestal en condiciones de oportunidad y razonabilidad para el control y la toma de decisiones.</v>
      </c>
      <c r="D24" s="86">
        <f>B13</f>
        <v>0.25</v>
      </c>
      <c r="E24" s="26">
        <f>BG13+BG14+BG15</f>
        <v>5.7500000000000002E-2</v>
      </c>
    </row>
    <row r="25" spans="1:61" ht="25.5" x14ac:dyDescent="0.2">
      <c r="C25" s="25" t="str">
        <f>A16</f>
        <v xml:space="preserve">4. Garantizar la ejecución presupuestal medida en pagos y gestión del PAC en condiciones de oportunidad </v>
      </c>
      <c r="D25" s="86">
        <f>B16</f>
        <v>0.2</v>
      </c>
      <c r="E25" s="26">
        <f>BG16+BG17</f>
        <v>4.9945978391356539E-2</v>
      </c>
    </row>
    <row r="26" spans="1:61" ht="51" x14ac:dyDescent="0.2">
      <c r="C26" s="25" t="str">
        <f>A18</f>
        <v>5. Apoyar el desarrollo de las activiades necesarias para las implementación de los criterios del Gobierno en Línea en la Unidad Administrativa Especial de Organizaciones Solidarias.</v>
      </c>
      <c r="D26" s="86">
        <f>B18</f>
        <v>0.05</v>
      </c>
      <c r="E26" s="26">
        <f>BG18</f>
        <v>1.2499999999999999E-2</v>
      </c>
    </row>
    <row r="27" spans="1:61" x14ac:dyDescent="0.2">
      <c r="C27" s="868" t="s">
        <v>66</v>
      </c>
      <c r="D27" s="869">
        <f>SUM(D22:D26)</f>
        <v>1</v>
      </c>
      <c r="E27" s="869">
        <f>SUM(E22:E26)</f>
        <v>0.26216820061357876</v>
      </c>
    </row>
    <row r="37" spans="3:5" ht="25.5" x14ac:dyDescent="0.2">
      <c r="C37" s="866" t="s">
        <v>71</v>
      </c>
      <c r="D37" s="867" t="s">
        <v>73</v>
      </c>
      <c r="E37" s="867" t="s">
        <v>72</v>
      </c>
    </row>
    <row r="38" spans="3:5" ht="38.25" x14ac:dyDescent="0.2">
      <c r="C38" s="25" t="str">
        <f>C22</f>
        <v>1. Elaborar en coordinación con el Grupo de Planeación y Estadística el Anteproyecto de Presupuesto de la Entidad</v>
      </c>
      <c r="D38" s="86">
        <f>BI5+BI6</f>
        <v>0.12000000000000001</v>
      </c>
      <c r="E38" s="26">
        <f>E22</f>
        <v>0.12000000000000001</v>
      </c>
    </row>
    <row r="39" spans="3:5" ht="51" x14ac:dyDescent="0.2">
      <c r="C39" s="25" t="str">
        <f t="shared" ref="C39:C42" si="6">C23</f>
        <v>2. Reportar información contable en condiciones de oportunidad y razonabilidad como insumo para informes a los diferentes entes de control y de interes para la ciudadania en general.</v>
      </c>
      <c r="D39" s="86">
        <f>BI7+BI8+BI9+BI10+BI11+BI12</f>
        <v>8.9722222222222231E-2</v>
      </c>
      <c r="E39" s="26">
        <f t="shared" ref="E39:E42" si="7">E23</f>
        <v>2.2222222222222223E-2</v>
      </c>
    </row>
    <row r="40" spans="3:5" ht="38.25" x14ac:dyDescent="0.2">
      <c r="C40" s="25" t="str">
        <f t="shared" si="6"/>
        <v>3. Consolidar información presupuestal en condiciones de oportunidad y razonabilidad para el control y la toma de decisiones.</v>
      </c>
      <c r="D40" s="86">
        <f>BI13+BI14+BI15</f>
        <v>7.7500000000000013E-2</v>
      </c>
      <c r="E40" s="26">
        <f t="shared" si="7"/>
        <v>5.7500000000000002E-2</v>
      </c>
    </row>
    <row r="41" spans="3:5" ht="25.5" x14ac:dyDescent="0.2">
      <c r="C41" s="25" t="str">
        <f t="shared" si="6"/>
        <v xml:space="preserve">4. Garantizar la ejecución presupuestal medida en pagos y gestión del PAC en condiciones de oportunidad </v>
      </c>
      <c r="D41" s="86">
        <f>BI16+BI17</f>
        <v>4.9999999999999996E-2</v>
      </c>
      <c r="E41" s="26">
        <f t="shared" si="7"/>
        <v>4.9945978391356539E-2</v>
      </c>
    </row>
    <row r="42" spans="3:5" ht="51" x14ac:dyDescent="0.2">
      <c r="C42" s="25" t="str">
        <f t="shared" si="6"/>
        <v>5. Apoyar el desarrollo de las activiades necesarias para las implementación de los criterios del Gobierno en Línea en la Unidad Administrativa Especial de Organizaciones Solidarias.</v>
      </c>
      <c r="D42" s="86">
        <f>BI18</f>
        <v>1.2499999999999999E-2</v>
      </c>
      <c r="E42" s="26">
        <f t="shared" si="7"/>
        <v>1.2499999999999999E-2</v>
      </c>
    </row>
    <row r="43" spans="3:5" x14ac:dyDescent="0.2">
      <c r="C43" s="868" t="s">
        <v>66</v>
      </c>
      <c r="D43" s="869">
        <f>SUM(D38:D42)</f>
        <v>0.34972222222222227</v>
      </c>
      <c r="E43" s="869">
        <f>SUM(E38:E42)</f>
        <v>0.26216820061357876</v>
      </c>
    </row>
  </sheetData>
  <mergeCells count="396">
    <mergeCell ref="C3:C4"/>
    <mergeCell ref="AV3:AY3"/>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P3:S3"/>
    <mergeCell ref="T3:W3"/>
    <mergeCell ref="V4:W4"/>
    <mergeCell ref="AV4:AW4"/>
    <mergeCell ref="AX4:AY4"/>
    <mergeCell ref="AZ4:BA4"/>
    <mergeCell ref="BB4:BC4"/>
    <mergeCell ref="A5:A6"/>
    <mergeCell ref="B5:B6"/>
    <mergeCell ref="AJ4:AK4"/>
    <mergeCell ref="AL4:AM4"/>
    <mergeCell ref="AN4:AO4"/>
    <mergeCell ref="AP4:AQ4"/>
    <mergeCell ref="AR4:AS4"/>
    <mergeCell ref="AT4:AU4"/>
    <mergeCell ref="X4:Y4"/>
    <mergeCell ref="Z4:AA4"/>
    <mergeCell ref="AB4:AC4"/>
    <mergeCell ref="AD4:AE4"/>
    <mergeCell ref="AF4:AG4"/>
    <mergeCell ref="AH4:AI4"/>
    <mergeCell ref="G3:G4"/>
    <mergeCell ref="D3:D4"/>
    <mergeCell ref="E3:E4"/>
    <mergeCell ref="F3:F4"/>
    <mergeCell ref="A3:A4"/>
    <mergeCell ref="B3:B4"/>
    <mergeCell ref="T5:U5"/>
    <mergeCell ref="V5:W5"/>
    <mergeCell ref="X5:Y5"/>
    <mergeCell ref="Z5:AA5"/>
    <mergeCell ref="AB5:AC5"/>
    <mergeCell ref="AD5:AE5"/>
    <mergeCell ref="H5:I5"/>
    <mergeCell ref="J5:K5"/>
    <mergeCell ref="L5:M5"/>
    <mergeCell ref="N5:O5"/>
    <mergeCell ref="P5:Q5"/>
    <mergeCell ref="R5:S5"/>
    <mergeCell ref="AR5:AS5"/>
    <mergeCell ref="AT5:AU5"/>
    <mergeCell ref="AV5:AW5"/>
    <mergeCell ref="AX5:AY5"/>
    <mergeCell ref="AZ5:BA5"/>
    <mergeCell ref="BB5:BC5"/>
    <mergeCell ref="AF5:AG5"/>
    <mergeCell ref="AH5:AI5"/>
    <mergeCell ref="AJ5:AK5"/>
    <mergeCell ref="AL5:AM5"/>
    <mergeCell ref="AN5:AO5"/>
    <mergeCell ref="AP5:AQ5"/>
    <mergeCell ref="T6:U6"/>
    <mergeCell ref="V6:W6"/>
    <mergeCell ref="X6:Y6"/>
    <mergeCell ref="Z6:AA6"/>
    <mergeCell ref="AB6:AC6"/>
    <mergeCell ref="AD6:AE6"/>
    <mergeCell ref="H6:I6"/>
    <mergeCell ref="J6:K6"/>
    <mergeCell ref="L6:M6"/>
    <mergeCell ref="N6:O6"/>
    <mergeCell ref="P6:Q6"/>
    <mergeCell ref="R6:S6"/>
    <mergeCell ref="AR6:AS6"/>
    <mergeCell ref="AT6:AU6"/>
    <mergeCell ref="AV6:AW6"/>
    <mergeCell ref="AX6:AY6"/>
    <mergeCell ref="AZ6:BA6"/>
    <mergeCell ref="BB6:BC6"/>
    <mergeCell ref="AF6:AG6"/>
    <mergeCell ref="AH6:AI6"/>
    <mergeCell ref="AJ6:AK6"/>
    <mergeCell ref="AL6:AM6"/>
    <mergeCell ref="AN6:AO6"/>
    <mergeCell ref="AP6:AQ6"/>
    <mergeCell ref="R7:S7"/>
    <mergeCell ref="T7:U7"/>
    <mergeCell ref="V7:W7"/>
    <mergeCell ref="X7:Y7"/>
    <mergeCell ref="A7:A12"/>
    <mergeCell ref="B7:B12"/>
    <mergeCell ref="H7:I7"/>
    <mergeCell ref="J7:K7"/>
    <mergeCell ref="L7:M7"/>
    <mergeCell ref="C9:C10"/>
    <mergeCell ref="G9:G10"/>
    <mergeCell ref="H9:I9"/>
    <mergeCell ref="J9:K9"/>
    <mergeCell ref="L9:M9"/>
    <mergeCell ref="R9:S9"/>
    <mergeCell ref="T9:U9"/>
    <mergeCell ref="V9:W9"/>
    <mergeCell ref="X9:Y9"/>
    <mergeCell ref="H10:I10"/>
    <mergeCell ref="J10:K10"/>
    <mergeCell ref="L10:M10"/>
    <mergeCell ref="N10:O10"/>
    <mergeCell ref="P10:Q10"/>
    <mergeCell ref="R10:S10"/>
    <mergeCell ref="AX7:AY7"/>
    <mergeCell ref="AZ7:BA7"/>
    <mergeCell ref="BB7:BC7"/>
    <mergeCell ref="H8:I8"/>
    <mergeCell ref="J8:K8"/>
    <mergeCell ref="L8:M8"/>
    <mergeCell ref="N8:O8"/>
    <mergeCell ref="P8:Q8"/>
    <mergeCell ref="R8:S8"/>
    <mergeCell ref="T8:U8"/>
    <mergeCell ref="AL7:AM7"/>
    <mergeCell ref="AN7:AO7"/>
    <mergeCell ref="AP7:AQ7"/>
    <mergeCell ref="AR7:AS7"/>
    <mergeCell ref="AT7:AU7"/>
    <mergeCell ref="AV7:AW7"/>
    <mergeCell ref="Z7:AA7"/>
    <mergeCell ref="AB7:AC7"/>
    <mergeCell ref="AD7:AE7"/>
    <mergeCell ref="AF7:AG7"/>
    <mergeCell ref="AH7:AI7"/>
    <mergeCell ref="AJ7:AK7"/>
    <mergeCell ref="N7:O7"/>
    <mergeCell ref="P7:Q7"/>
    <mergeCell ref="AH8:AI8"/>
    <mergeCell ref="AJ8:AK8"/>
    <mergeCell ref="AL8:AM8"/>
    <mergeCell ref="AN8:AO8"/>
    <mergeCell ref="V8:W8"/>
    <mergeCell ref="X8:Y8"/>
    <mergeCell ref="Z8:AA8"/>
    <mergeCell ref="AB8:AC8"/>
    <mergeCell ref="AD8:AE8"/>
    <mergeCell ref="AF8:AG8"/>
    <mergeCell ref="AR10:AS10"/>
    <mergeCell ref="AT10:AU10"/>
    <mergeCell ref="AV10:AW10"/>
    <mergeCell ref="AT8:AU8"/>
    <mergeCell ref="AV8:AW8"/>
    <mergeCell ref="AX8:AY8"/>
    <mergeCell ref="AZ8:BA8"/>
    <mergeCell ref="BB8:BC8"/>
    <mergeCell ref="AP8:AQ8"/>
    <mergeCell ref="AR8:AS8"/>
    <mergeCell ref="AX9:AY9"/>
    <mergeCell ref="AZ9:BA9"/>
    <mergeCell ref="BB9:BC9"/>
    <mergeCell ref="AX10:AY10"/>
    <mergeCell ref="AZ10:BA10"/>
    <mergeCell ref="BB10:BC10"/>
    <mergeCell ref="AN9:AO9"/>
    <mergeCell ref="AP9:AQ9"/>
    <mergeCell ref="AR9:AS9"/>
    <mergeCell ref="AT9:AU9"/>
    <mergeCell ref="AV9:AW9"/>
    <mergeCell ref="Z9:AA9"/>
    <mergeCell ref="AB9:AC9"/>
    <mergeCell ref="AD9:AE9"/>
    <mergeCell ref="AF9:AG9"/>
    <mergeCell ref="AH9:AI9"/>
    <mergeCell ref="AJ9:AK9"/>
    <mergeCell ref="N9:O9"/>
    <mergeCell ref="P9:Q9"/>
    <mergeCell ref="J11:K11"/>
    <mergeCell ref="L11:M11"/>
    <mergeCell ref="AH10:AI10"/>
    <mergeCell ref="AJ10:AK10"/>
    <mergeCell ref="AL10:AM10"/>
    <mergeCell ref="AN10:AO10"/>
    <mergeCell ref="AP10:AQ10"/>
    <mergeCell ref="V10:W10"/>
    <mergeCell ref="X10:Y10"/>
    <mergeCell ref="Z10:AA10"/>
    <mergeCell ref="AB10:AC10"/>
    <mergeCell ref="AD10:AE10"/>
    <mergeCell ref="AF10:AG10"/>
    <mergeCell ref="R11:S11"/>
    <mergeCell ref="T11:U11"/>
    <mergeCell ref="V11:W11"/>
    <mergeCell ref="X11:Y11"/>
    <mergeCell ref="AJ11:AK11"/>
    <mergeCell ref="N11:O11"/>
    <mergeCell ref="P11:Q11"/>
    <mergeCell ref="T10:U10"/>
    <mergeCell ref="AL9:AM9"/>
    <mergeCell ref="AX11:AY11"/>
    <mergeCell ref="AZ11:BA11"/>
    <mergeCell ref="BB11:BC11"/>
    <mergeCell ref="H12:I12"/>
    <mergeCell ref="J12:K12"/>
    <mergeCell ref="L12:M12"/>
    <mergeCell ref="N12:O12"/>
    <mergeCell ref="P12:Q12"/>
    <mergeCell ref="R12:S12"/>
    <mergeCell ref="T12:U12"/>
    <mergeCell ref="AL11:AM11"/>
    <mergeCell ref="AN11:AO11"/>
    <mergeCell ref="AP11:AQ11"/>
    <mergeCell ref="AR11:AS11"/>
    <mergeCell ref="AT11:AU11"/>
    <mergeCell ref="AV11:AW11"/>
    <mergeCell ref="Z11:AA11"/>
    <mergeCell ref="AB11:AC11"/>
    <mergeCell ref="AD11:AE11"/>
    <mergeCell ref="AF11:AG11"/>
    <mergeCell ref="AH11:AI11"/>
    <mergeCell ref="AT12:AU12"/>
    <mergeCell ref="AV12:AW12"/>
    <mergeCell ref="AX12:AY12"/>
    <mergeCell ref="AZ12:BA12"/>
    <mergeCell ref="BB12:BC12"/>
    <mergeCell ref="A13:A15"/>
    <mergeCell ref="B13:B15"/>
    <mergeCell ref="H13:I13"/>
    <mergeCell ref="J13:K13"/>
    <mergeCell ref="AH12:AI12"/>
    <mergeCell ref="AJ12:AK12"/>
    <mergeCell ref="AL12:AM12"/>
    <mergeCell ref="AN12:AO12"/>
    <mergeCell ref="AP12:AQ12"/>
    <mergeCell ref="AR12:AS12"/>
    <mergeCell ref="V12:W12"/>
    <mergeCell ref="X12:Y12"/>
    <mergeCell ref="Z12:AA12"/>
    <mergeCell ref="AB12:AC12"/>
    <mergeCell ref="AD12:AE12"/>
    <mergeCell ref="AF12:AG12"/>
    <mergeCell ref="C11:C12"/>
    <mergeCell ref="G11:G12"/>
    <mergeCell ref="H11:I11"/>
    <mergeCell ref="BB13:BC13"/>
    <mergeCell ref="H14:I14"/>
    <mergeCell ref="J14:K14"/>
    <mergeCell ref="L13:M13"/>
    <mergeCell ref="N13:O13"/>
    <mergeCell ref="P13:Q13"/>
    <mergeCell ref="R13:S13"/>
    <mergeCell ref="T13:U13"/>
    <mergeCell ref="L14:M14"/>
    <mergeCell ref="N14:O14"/>
    <mergeCell ref="P14:Q14"/>
    <mergeCell ref="R14:S14"/>
    <mergeCell ref="AV13:AW13"/>
    <mergeCell ref="AX13:AY13"/>
    <mergeCell ref="AZ13:BA13"/>
    <mergeCell ref="V13:W13"/>
    <mergeCell ref="AR14:AS14"/>
    <mergeCell ref="AT14:AU14"/>
    <mergeCell ref="AV14:AW14"/>
    <mergeCell ref="AX14:AY14"/>
    <mergeCell ref="AZ14:BA14"/>
    <mergeCell ref="AT13:AU13"/>
    <mergeCell ref="X13:Y13"/>
    <mergeCell ref="Z13:AA13"/>
    <mergeCell ref="AB13:AC13"/>
    <mergeCell ref="AD13:AE13"/>
    <mergeCell ref="AF13:AG13"/>
    <mergeCell ref="AH13:AI13"/>
    <mergeCell ref="AJ13:AK13"/>
    <mergeCell ref="AL13:AM13"/>
    <mergeCell ref="AN13:AO13"/>
    <mergeCell ref="AP13:AQ13"/>
    <mergeCell ref="AR13:AS13"/>
    <mergeCell ref="BB14:BC14"/>
    <mergeCell ref="AF14:AG14"/>
    <mergeCell ref="AH14:AI14"/>
    <mergeCell ref="AJ14:AK14"/>
    <mergeCell ref="AL14:AM14"/>
    <mergeCell ref="AN14:AO14"/>
    <mergeCell ref="AP14:AQ14"/>
    <mergeCell ref="T15:U15"/>
    <mergeCell ref="V15:W15"/>
    <mergeCell ref="X15:Y15"/>
    <mergeCell ref="Z15:AA15"/>
    <mergeCell ref="AB15:AC15"/>
    <mergeCell ref="AD15:AE15"/>
    <mergeCell ref="BB15:BC15"/>
    <mergeCell ref="T14:U14"/>
    <mergeCell ref="V14:W14"/>
    <mergeCell ref="X14:Y14"/>
    <mergeCell ref="Z14:AA14"/>
    <mergeCell ref="AB14:AC14"/>
    <mergeCell ref="AD14:AE14"/>
    <mergeCell ref="H15:I15"/>
    <mergeCell ref="J15:K15"/>
    <mergeCell ref="L15:M15"/>
    <mergeCell ref="N15:O15"/>
    <mergeCell ref="P15:Q15"/>
    <mergeCell ref="R15:S15"/>
    <mergeCell ref="AV15:AW15"/>
    <mergeCell ref="AX15:AY15"/>
    <mergeCell ref="AZ15:BA15"/>
    <mergeCell ref="AF15:AG15"/>
    <mergeCell ref="AH15:AI15"/>
    <mergeCell ref="AJ15:AK15"/>
    <mergeCell ref="AL15:AM15"/>
    <mergeCell ref="AN15:AO15"/>
    <mergeCell ref="AP15:AQ15"/>
    <mergeCell ref="N16:O16"/>
    <mergeCell ref="P16:Q16"/>
    <mergeCell ref="R16:S16"/>
    <mergeCell ref="T16:U16"/>
    <mergeCell ref="V16:W16"/>
    <mergeCell ref="X16:Y16"/>
    <mergeCell ref="A16:A17"/>
    <mergeCell ref="B16:B17"/>
    <mergeCell ref="H16:I16"/>
    <mergeCell ref="J16:K16"/>
    <mergeCell ref="L16:M16"/>
    <mergeCell ref="AL16:AM16"/>
    <mergeCell ref="AN16:AO16"/>
    <mergeCell ref="AP16:AQ16"/>
    <mergeCell ref="AR16:AS16"/>
    <mergeCell ref="AT16:AU16"/>
    <mergeCell ref="AV16:AW16"/>
    <mergeCell ref="Z16:AA16"/>
    <mergeCell ref="AB16:AC16"/>
    <mergeCell ref="AD16:AE16"/>
    <mergeCell ref="AF16:AG16"/>
    <mergeCell ref="AH16:AI16"/>
    <mergeCell ref="AJ16:AK16"/>
    <mergeCell ref="H18:I18"/>
    <mergeCell ref="J18:K18"/>
    <mergeCell ref="L18:M18"/>
    <mergeCell ref="N18:O18"/>
    <mergeCell ref="P18:Q18"/>
    <mergeCell ref="AH17:AI17"/>
    <mergeCell ref="AJ17:AK17"/>
    <mergeCell ref="AL17:AM17"/>
    <mergeCell ref="AN17:AO17"/>
    <mergeCell ref="V17:W17"/>
    <mergeCell ref="X17:Y17"/>
    <mergeCell ref="Z17:AA17"/>
    <mergeCell ref="AB17:AC17"/>
    <mergeCell ref="AD17:AE17"/>
    <mergeCell ref="AF17:AG17"/>
    <mergeCell ref="H17:I17"/>
    <mergeCell ref="J17:K17"/>
    <mergeCell ref="L17:M17"/>
    <mergeCell ref="N17:O17"/>
    <mergeCell ref="P17:Q17"/>
    <mergeCell ref="R17:S17"/>
    <mergeCell ref="T17:U17"/>
    <mergeCell ref="AD18:AE18"/>
    <mergeCell ref="AF18:AG18"/>
    <mergeCell ref="AH18:AI18"/>
    <mergeCell ref="AJ18:AK18"/>
    <mergeCell ref="AL18:AM18"/>
    <mergeCell ref="AN18:AO18"/>
    <mergeCell ref="R18:S18"/>
    <mergeCell ref="T18:U18"/>
    <mergeCell ref="V18:W18"/>
    <mergeCell ref="X18:Y18"/>
    <mergeCell ref="Z18:AA18"/>
    <mergeCell ref="AB18:AC18"/>
    <mergeCell ref="BB18:BC18"/>
    <mergeCell ref="BD3:BD4"/>
    <mergeCell ref="BE3:BE4"/>
    <mergeCell ref="BF3:BF4"/>
    <mergeCell ref="BG3:BG4"/>
    <mergeCell ref="BH3:BH4"/>
    <mergeCell ref="AP18:AQ18"/>
    <mergeCell ref="AR18:AS18"/>
    <mergeCell ref="AT18:AU18"/>
    <mergeCell ref="AV18:AW18"/>
    <mergeCell ref="AX18:AY18"/>
    <mergeCell ref="AZ18:BA18"/>
    <mergeCell ref="AT17:AU17"/>
    <mergeCell ref="AV17:AW17"/>
    <mergeCell ref="AX17:AY17"/>
    <mergeCell ref="AZ17:BA17"/>
    <mergeCell ref="BB17:BC17"/>
    <mergeCell ref="AP17:AQ17"/>
    <mergeCell ref="AR17:AS17"/>
    <mergeCell ref="AX16:AY16"/>
    <mergeCell ref="AZ16:BA16"/>
    <mergeCell ref="BB16:BC16"/>
    <mergeCell ref="AR15:AS15"/>
    <mergeCell ref="AT15:AU15"/>
  </mergeCells>
  <conditionalFormatting sqref="BF5:BF18">
    <cfRule type="cellIs" dxfId="150"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50" orientation="landscape"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D5" zoomScale="70" zoomScaleNormal="70" zoomScaleSheetLayoutView="40" workbookViewId="0">
      <selection activeCell="BF5" sqref="BF5:BF24"/>
    </sheetView>
  </sheetViews>
  <sheetFormatPr baseColWidth="10" defaultRowHeight="12.75" x14ac:dyDescent="0.2"/>
  <cols>
    <col min="1" max="1" width="45.7109375" style="27" customWidth="1"/>
    <col min="2" max="2" width="23" style="2" customWidth="1"/>
    <col min="3" max="3" width="53.42578125" style="27" customWidth="1"/>
    <col min="4" max="4" width="24.85546875" style="27" customWidth="1"/>
    <col min="5" max="5" width="27" style="27" customWidth="1"/>
    <col min="6" max="6" width="23.42578125" style="163" customWidth="1"/>
    <col min="7" max="7" width="13.85546875" style="27" customWidth="1"/>
    <col min="8" max="55" width="3.5703125" style="27" customWidth="1"/>
    <col min="56" max="60" width="11.42578125" style="27" customWidth="1"/>
    <col min="61" max="16384" width="11.42578125" style="27"/>
  </cols>
  <sheetData>
    <row r="1" spans="1:61" ht="15" x14ac:dyDescent="0.2">
      <c r="H1" s="28"/>
    </row>
    <row r="2" spans="1:61" ht="15.75" thickBot="1" x14ac:dyDescent="0.25">
      <c r="H2" s="28"/>
    </row>
    <row r="3" spans="1:61" ht="48" customHeight="1" x14ac:dyDescent="0.2">
      <c r="A3" s="1208" t="s">
        <v>0</v>
      </c>
      <c r="B3" s="919" t="s">
        <v>1</v>
      </c>
      <c r="C3" s="1210" t="s">
        <v>2</v>
      </c>
      <c r="D3" s="1210" t="s">
        <v>3</v>
      </c>
      <c r="E3" s="1210" t="s">
        <v>4</v>
      </c>
      <c r="F3" s="1210" t="s">
        <v>5</v>
      </c>
      <c r="G3" s="1208" t="s">
        <v>6</v>
      </c>
      <c r="H3" s="1215" t="s">
        <v>7</v>
      </c>
      <c r="I3" s="1213"/>
      <c r="J3" s="1213"/>
      <c r="K3" s="1214"/>
      <c r="L3" s="1213" t="s">
        <v>8</v>
      </c>
      <c r="M3" s="1213"/>
      <c r="N3" s="1213"/>
      <c r="O3" s="1214"/>
      <c r="P3" s="1213" t="s">
        <v>9</v>
      </c>
      <c r="Q3" s="1213"/>
      <c r="R3" s="1213"/>
      <c r="S3" s="1214"/>
      <c r="T3" s="1213" t="s">
        <v>10</v>
      </c>
      <c r="U3" s="1213"/>
      <c r="V3" s="1213"/>
      <c r="W3" s="1214"/>
      <c r="X3" s="1213" t="s">
        <v>11</v>
      </c>
      <c r="Y3" s="1213"/>
      <c r="Z3" s="1213"/>
      <c r="AA3" s="1214"/>
      <c r="AB3" s="1213" t="s">
        <v>12</v>
      </c>
      <c r="AC3" s="1213"/>
      <c r="AD3" s="1213"/>
      <c r="AE3" s="1214"/>
      <c r="AF3" s="1213" t="s">
        <v>13</v>
      </c>
      <c r="AG3" s="1213"/>
      <c r="AH3" s="1213"/>
      <c r="AI3" s="1214"/>
      <c r="AJ3" s="1213" t="s">
        <v>14</v>
      </c>
      <c r="AK3" s="1213"/>
      <c r="AL3" s="1213"/>
      <c r="AM3" s="1214"/>
      <c r="AN3" s="1213" t="s">
        <v>15</v>
      </c>
      <c r="AO3" s="1213"/>
      <c r="AP3" s="1213"/>
      <c r="AQ3" s="1214"/>
      <c r="AR3" s="1213" t="s">
        <v>16</v>
      </c>
      <c r="AS3" s="1213"/>
      <c r="AT3" s="1213"/>
      <c r="AU3" s="1214"/>
      <c r="AV3" s="1213" t="s">
        <v>17</v>
      </c>
      <c r="AW3" s="1213"/>
      <c r="AX3" s="1213"/>
      <c r="AY3" s="1214"/>
      <c r="AZ3" s="1213" t="s">
        <v>18</v>
      </c>
      <c r="BA3" s="1213"/>
      <c r="BB3" s="1213"/>
      <c r="BC3" s="1214"/>
      <c r="BD3" s="1071" t="s">
        <v>66</v>
      </c>
      <c r="BE3" s="1073" t="s">
        <v>67</v>
      </c>
      <c r="BF3" s="1139" t="s">
        <v>68</v>
      </c>
      <c r="BG3" s="1141" t="s">
        <v>69</v>
      </c>
      <c r="BH3" s="1079" t="s">
        <v>241</v>
      </c>
    </row>
    <row r="4" spans="1:61" ht="69.75" customHeight="1" thickBot="1" x14ac:dyDescent="0.25">
      <c r="A4" s="1209"/>
      <c r="B4" s="920"/>
      <c r="C4" s="1211"/>
      <c r="D4" s="1211"/>
      <c r="E4" s="1211"/>
      <c r="F4" s="1211"/>
      <c r="G4" s="1209"/>
      <c r="H4" s="1204" t="s">
        <v>19</v>
      </c>
      <c r="I4" s="1205"/>
      <c r="J4" s="1206" t="s">
        <v>20</v>
      </c>
      <c r="K4" s="1207"/>
      <c r="L4" s="1204" t="s">
        <v>19</v>
      </c>
      <c r="M4" s="1205"/>
      <c r="N4" s="1206" t="s">
        <v>20</v>
      </c>
      <c r="O4" s="1207"/>
      <c r="P4" s="1204" t="s">
        <v>19</v>
      </c>
      <c r="Q4" s="1205"/>
      <c r="R4" s="1206" t="s">
        <v>20</v>
      </c>
      <c r="S4" s="1207"/>
      <c r="T4" s="1204" t="s">
        <v>19</v>
      </c>
      <c r="U4" s="1205"/>
      <c r="V4" s="1206" t="s">
        <v>20</v>
      </c>
      <c r="W4" s="1207"/>
      <c r="X4" s="1204" t="s">
        <v>19</v>
      </c>
      <c r="Y4" s="1205"/>
      <c r="Z4" s="1206" t="s">
        <v>20</v>
      </c>
      <c r="AA4" s="1207"/>
      <c r="AB4" s="1204" t="s">
        <v>19</v>
      </c>
      <c r="AC4" s="1205"/>
      <c r="AD4" s="1206" t="s">
        <v>20</v>
      </c>
      <c r="AE4" s="1207"/>
      <c r="AF4" s="1204" t="s">
        <v>19</v>
      </c>
      <c r="AG4" s="1205"/>
      <c r="AH4" s="1206" t="s">
        <v>20</v>
      </c>
      <c r="AI4" s="1207"/>
      <c r="AJ4" s="1204" t="s">
        <v>19</v>
      </c>
      <c r="AK4" s="1205"/>
      <c r="AL4" s="1206" t="s">
        <v>20</v>
      </c>
      <c r="AM4" s="1207"/>
      <c r="AN4" s="1204" t="s">
        <v>19</v>
      </c>
      <c r="AO4" s="1205"/>
      <c r="AP4" s="1206" t="s">
        <v>20</v>
      </c>
      <c r="AQ4" s="1207"/>
      <c r="AR4" s="1204" t="s">
        <v>19</v>
      </c>
      <c r="AS4" s="1205"/>
      <c r="AT4" s="1206" t="s">
        <v>20</v>
      </c>
      <c r="AU4" s="1207"/>
      <c r="AV4" s="1204" t="s">
        <v>19</v>
      </c>
      <c r="AW4" s="1205"/>
      <c r="AX4" s="1206" t="s">
        <v>20</v>
      </c>
      <c r="AY4" s="1207"/>
      <c r="AZ4" s="1204" t="s">
        <v>19</v>
      </c>
      <c r="BA4" s="1205"/>
      <c r="BB4" s="1206" t="s">
        <v>20</v>
      </c>
      <c r="BC4" s="1207"/>
      <c r="BD4" s="1072"/>
      <c r="BE4" s="1074"/>
      <c r="BF4" s="1140"/>
      <c r="BG4" s="1142"/>
      <c r="BH4" s="1080"/>
    </row>
    <row r="5" spans="1:61" ht="26.25" customHeight="1" thickBot="1" x14ac:dyDescent="0.25">
      <c r="A5" s="1306" t="s">
        <v>368</v>
      </c>
      <c r="B5" s="1307">
        <v>0.2</v>
      </c>
      <c r="C5" s="1301" t="s">
        <v>369</v>
      </c>
      <c r="D5" s="164" t="s">
        <v>370</v>
      </c>
      <c r="E5" s="165" t="s">
        <v>371</v>
      </c>
      <c r="F5" s="166">
        <v>0.05</v>
      </c>
      <c r="G5" s="1303" t="s">
        <v>109</v>
      </c>
      <c r="H5" s="1277">
        <v>1</v>
      </c>
      <c r="I5" s="1277"/>
      <c r="J5" s="1305">
        <v>1</v>
      </c>
      <c r="K5" s="1305"/>
      <c r="L5" s="1265"/>
      <c r="M5" s="1265"/>
      <c r="N5" s="1298"/>
      <c r="O5" s="1298"/>
      <c r="P5" s="1265"/>
      <c r="Q5" s="1265"/>
      <c r="R5" s="1298"/>
      <c r="S5" s="1298"/>
      <c r="T5" s="1265"/>
      <c r="U5" s="1265"/>
      <c r="V5" s="1298"/>
      <c r="W5" s="1298"/>
      <c r="X5" s="1265"/>
      <c r="Y5" s="1265"/>
      <c r="Z5" s="1298"/>
      <c r="AA5" s="1298"/>
      <c r="AB5" s="1265"/>
      <c r="AC5" s="1265"/>
      <c r="AD5" s="1298"/>
      <c r="AE5" s="1298"/>
      <c r="AF5" s="1265"/>
      <c r="AG5" s="1265"/>
      <c r="AH5" s="1298"/>
      <c r="AI5" s="1298"/>
      <c r="AJ5" s="1265"/>
      <c r="AK5" s="1265"/>
      <c r="AL5" s="1298"/>
      <c r="AM5" s="1298"/>
      <c r="AN5" s="1265"/>
      <c r="AO5" s="1265"/>
      <c r="AP5" s="1298"/>
      <c r="AQ5" s="1298"/>
      <c r="AR5" s="1265"/>
      <c r="AS5" s="1265"/>
      <c r="AT5" s="1298"/>
      <c r="AU5" s="1298"/>
      <c r="AV5" s="1265"/>
      <c r="AW5" s="1265"/>
      <c r="AX5" s="1298"/>
      <c r="AY5" s="1298"/>
      <c r="AZ5" s="1265"/>
      <c r="BA5" s="1265"/>
      <c r="BB5" s="1298"/>
      <c r="BC5" s="1299"/>
      <c r="BD5" s="129">
        <f>H5+L5+P5+T5+X5+AB5+AF5+AJ5+AN5+AR5+AV5+AZ5</f>
        <v>1</v>
      </c>
      <c r="BE5" s="162">
        <f>J5+N5+R5+V5+Z5+AD5+AH5+AL5+AP5+AT5+AX5+BB5</f>
        <v>1</v>
      </c>
      <c r="BF5" s="131">
        <f>BD5/BE5</f>
        <v>1</v>
      </c>
      <c r="BG5" s="132">
        <f>F5*BF5</f>
        <v>0.05</v>
      </c>
      <c r="BH5" s="133">
        <f>F5</f>
        <v>0.05</v>
      </c>
      <c r="BI5" s="257">
        <f>((J5+N5+R5)/BE5)*BH5</f>
        <v>0.05</v>
      </c>
    </row>
    <row r="6" spans="1:61" ht="26.25" thickBot="1" x14ac:dyDescent="0.25">
      <c r="A6" s="1011"/>
      <c r="B6" s="994"/>
      <c r="C6" s="1302"/>
      <c r="D6" s="33" t="s">
        <v>372</v>
      </c>
      <c r="E6" s="36" t="s">
        <v>373</v>
      </c>
      <c r="F6" s="167">
        <v>0.05</v>
      </c>
      <c r="G6" s="1304"/>
      <c r="H6" s="998"/>
      <c r="I6" s="998"/>
      <c r="J6" s="1288"/>
      <c r="K6" s="1288"/>
      <c r="L6" s="1226"/>
      <c r="M6" s="1226"/>
      <c r="N6" s="1288"/>
      <c r="O6" s="1288"/>
      <c r="P6" s="1226"/>
      <c r="Q6" s="1226"/>
      <c r="R6" s="1288"/>
      <c r="S6" s="1288"/>
      <c r="T6" s="1226"/>
      <c r="U6" s="1226"/>
      <c r="V6" s="1288"/>
      <c r="W6" s="1288"/>
      <c r="X6" s="1226"/>
      <c r="Y6" s="1226"/>
      <c r="Z6" s="1288"/>
      <c r="AA6" s="1288"/>
      <c r="AB6" s="1226"/>
      <c r="AC6" s="1226"/>
      <c r="AD6" s="1288"/>
      <c r="AE6" s="1288"/>
      <c r="AF6" s="998"/>
      <c r="AG6" s="998"/>
      <c r="AH6" s="1284">
        <v>1</v>
      </c>
      <c r="AI6" s="1284"/>
      <c r="AJ6" s="998"/>
      <c r="AK6" s="998"/>
      <c r="AL6" s="1288"/>
      <c r="AM6" s="1288"/>
      <c r="AN6" s="1226"/>
      <c r="AO6" s="1226"/>
      <c r="AP6" s="1288"/>
      <c r="AQ6" s="1288"/>
      <c r="AR6" s="1226"/>
      <c r="AS6" s="1226"/>
      <c r="AT6" s="1288"/>
      <c r="AU6" s="1288"/>
      <c r="AV6" s="998"/>
      <c r="AW6" s="998"/>
      <c r="AX6" s="1284">
        <v>1</v>
      </c>
      <c r="AY6" s="1284"/>
      <c r="AZ6" s="1265"/>
      <c r="BA6" s="1265"/>
      <c r="BB6" s="1226"/>
      <c r="BC6" s="1240"/>
      <c r="BD6" s="129">
        <f t="shared" ref="BD6:BD24" si="0">H6+L6+P6+T6+X6+AB6+AF6+AJ6+AN6+AR6+AV6+AZ6</f>
        <v>0</v>
      </c>
      <c r="BE6" s="162">
        <f t="shared" ref="BE6:BE24" si="1">J6+N6+R6+V6+Z6+AD6+AH6+AL6+AP6+AT6+AX6+BB6</f>
        <v>2</v>
      </c>
      <c r="BF6" s="131">
        <f t="shared" ref="BF6:BF24" si="2">BD6/BE6</f>
        <v>0</v>
      </c>
      <c r="BG6" s="132">
        <f t="shared" ref="BG6:BG24" si="3">F6*BF6</f>
        <v>0</v>
      </c>
      <c r="BH6" s="133">
        <f t="shared" ref="BH6:BH24" si="4">F6</f>
        <v>0.05</v>
      </c>
      <c r="BI6" s="257">
        <f t="shared" ref="BI6:BI24" si="5">((J6+N6+R6)/BE6)*BH6</f>
        <v>0</v>
      </c>
    </row>
    <row r="7" spans="1:61" ht="49.5" customHeight="1" thickBot="1" x14ac:dyDescent="0.25">
      <c r="A7" s="1300"/>
      <c r="B7" s="994"/>
      <c r="C7" s="168" t="s">
        <v>374</v>
      </c>
      <c r="D7" s="33" t="s">
        <v>375</v>
      </c>
      <c r="E7" s="33" t="s">
        <v>376</v>
      </c>
      <c r="F7" s="167">
        <v>0.1</v>
      </c>
      <c r="G7" s="169" t="s">
        <v>115</v>
      </c>
      <c r="H7" s="1009">
        <v>28</v>
      </c>
      <c r="I7" s="1009"/>
      <c r="J7" s="1284">
        <v>3</v>
      </c>
      <c r="K7" s="1284"/>
      <c r="L7" s="1009">
        <v>2</v>
      </c>
      <c r="M7" s="1009"/>
      <c r="N7" s="1284">
        <v>4</v>
      </c>
      <c r="O7" s="1284"/>
      <c r="P7" s="1009">
        <v>0</v>
      </c>
      <c r="Q7" s="1009"/>
      <c r="R7" s="1284">
        <v>3</v>
      </c>
      <c r="S7" s="1284"/>
      <c r="T7" s="998"/>
      <c r="U7" s="998"/>
      <c r="V7" s="1284">
        <v>4</v>
      </c>
      <c r="W7" s="1284"/>
      <c r="X7" s="990"/>
      <c r="Y7" s="990"/>
      <c r="Z7" s="1284">
        <v>3</v>
      </c>
      <c r="AA7" s="1284"/>
      <c r="AB7" s="998"/>
      <c r="AC7" s="998"/>
      <c r="AD7" s="1284">
        <v>4</v>
      </c>
      <c r="AE7" s="1284"/>
      <c r="AF7" s="990"/>
      <c r="AG7" s="990"/>
      <c r="AH7" s="1284">
        <v>3</v>
      </c>
      <c r="AI7" s="1284"/>
      <c r="AJ7" s="998"/>
      <c r="AK7" s="998"/>
      <c r="AL7" s="1284">
        <v>4</v>
      </c>
      <c r="AM7" s="1284"/>
      <c r="AN7" s="990"/>
      <c r="AO7" s="990"/>
      <c r="AP7" s="1284">
        <v>3</v>
      </c>
      <c r="AQ7" s="1284"/>
      <c r="AR7" s="998"/>
      <c r="AS7" s="998"/>
      <c r="AT7" s="1284">
        <v>4</v>
      </c>
      <c r="AU7" s="1284"/>
      <c r="AV7" s="990"/>
      <c r="AW7" s="990"/>
      <c r="AX7" s="1284">
        <v>3</v>
      </c>
      <c r="AY7" s="1284"/>
      <c r="AZ7" s="1265"/>
      <c r="BA7" s="1265"/>
      <c r="BB7" s="1284">
        <v>5</v>
      </c>
      <c r="BC7" s="1285"/>
      <c r="BD7" s="129">
        <f t="shared" si="0"/>
        <v>30</v>
      </c>
      <c r="BE7" s="162">
        <f t="shared" si="1"/>
        <v>43</v>
      </c>
      <c r="BF7" s="131">
        <f t="shared" si="2"/>
        <v>0.69767441860465118</v>
      </c>
      <c r="BG7" s="132">
        <f t="shared" si="3"/>
        <v>6.9767441860465115E-2</v>
      </c>
      <c r="BH7" s="133">
        <f t="shared" si="4"/>
        <v>0.1</v>
      </c>
      <c r="BI7" s="257">
        <f t="shared" si="5"/>
        <v>2.3255813953488372E-2</v>
      </c>
    </row>
    <row r="8" spans="1:61" ht="57.75" customHeight="1" thickBot="1" x14ac:dyDescent="0.25">
      <c r="A8" s="1011" t="s">
        <v>377</v>
      </c>
      <c r="B8" s="994">
        <v>0.1</v>
      </c>
      <c r="C8" s="168" t="s">
        <v>378</v>
      </c>
      <c r="D8" s="170" t="s">
        <v>379</v>
      </c>
      <c r="E8" s="170" t="s">
        <v>380</v>
      </c>
      <c r="F8" s="167">
        <v>0.05</v>
      </c>
      <c r="G8" s="169" t="s">
        <v>123</v>
      </c>
      <c r="H8" s="998"/>
      <c r="I8" s="998"/>
      <c r="J8" s="1288"/>
      <c r="K8" s="1288"/>
      <c r="L8" s="1226"/>
      <c r="M8" s="1226"/>
      <c r="N8" s="1288"/>
      <c r="O8" s="1288"/>
      <c r="P8" s="1226"/>
      <c r="Q8" s="1226"/>
      <c r="R8" s="1288"/>
      <c r="S8" s="1288"/>
      <c r="T8" s="1226"/>
      <c r="U8" s="1226"/>
      <c r="V8" s="1288"/>
      <c r="W8" s="1288"/>
      <c r="X8" s="1226"/>
      <c r="Y8" s="1226"/>
      <c r="Z8" s="1288"/>
      <c r="AA8" s="1288"/>
      <c r="AB8" s="998"/>
      <c r="AC8" s="998"/>
      <c r="AD8" s="1284">
        <v>1</v>
      </c>
      <c r="AE8" s="1284"/>
      <c r="AF8" s="998"/>
      <c r="AG8" s="998"/>
      <c r="AH8" s="1288"/>
      <c r="AI8" s="1288"/>
      <c r="AJ8" s="1226"/>
      <c r="AK8" s="1226"/>
      <c r="AL8" s="1288"/>
      <c r="AM8" s="1288"/>
      <c r="AN8" s="1226"/>
      <c r="AO8" s="1226"/>
      <c r="AP8" s="1288"/>
      <c r="AQ8" s="1288"/>
      <c r="AR8" s="1226"/>
      <c r="AS8" s="1226"/>
      <c r="AT8" s="1288"/>
      <c r="AU8" s="1288"/>
      <c r="AV8" s="998"/>
      <c r="AW8" s="998"/>
      <c r="AX8" s="1284">
        <v>1</v>
      </c>
      <c r="AY8" s="1284"/>
      <c r="AZ8" s="1265"/>
      <c r="BA8" s="1265"/>
      <c r="BB8" s="1226"/>
      <c r="BC8" s="1240"/>
      <c r="BD8" s="129">
        <f t="shared" si="0"/>
        <v>0</v>
      </c>
      <c r="BE8" s="162">
        <f t="shared" si="1"/>
        <v>2</v>
      </c>
      <c r="BF8" s="131">
        <f t="shared" si="2"/>
        <v>0</v>
      </c>
      <c r="BG8" s="132">
        <f t="shared" si="3"/>
        <v>0</v>
      </c>
      <c r="BH8" s="133">
        <f t="shared" si="4"/>
        <v>0.05</v>
      </c>
      <c r="BI8" s="257">
        <f t="shared" si="5"/>
        <v>0</v>
      </c>
    </row>
    <row r="9" spans="1:61" ht="51.75" thickBot="1" x14ac:dyDescent="0.25">
      <c r="A9" s="1011"/>
      <c r="B9" s="994"/>
      <c r="C9" s="168" t="s">
        <v>381</v>
      </c>
      <c r="D9" s="170" t="s">
        <v>382</v>
      </c>
      <c r="E9" s="170" t="s">
        <v>383</v>
      </c>
      <c r="F9" s="171">
        <v>2.5000000000000001E-2</v>
      </c>
      <c r="G9" s="169" t="s">
        <v>128</v>
      </c>
      <c r="H9" s="1009">
        <v>1</v>
      </c>
      <c r="I9" s="1009"/>
      <c r="J9" s="1284">
        <v>1</v>
      </c>
      <c r="K9" s="1284"/>
      <c r="L9" s="1009">
        <v>1</v>
      </c>
      <c r="M9" s="1009"/>
      <c r="N9" s="1284">
        <v>1</v>
      </c>
      <c r="O9" s="1284"/>
      <c r="P9" s="1009">
        <v>1</v>
      </c>
      <c r="Q9" s="1009"/>
      <c r="R9" s="1284">
        <v>1</v>
      </c>
      <c r="S9" s="1284"/>
      <c r="T9" s="990"/>
      <c r="U9" s="990"/>
      <c r="V9" s="1284">
        <v>1</v>
      </c>
      <c r="W9" s="1284"/>
      <c r="X9" s="990"/>
      <c r="Y9" s="990"/>
      <c r="Z9" s="1284">
        <v>1</v>
      </c>
      <c r="AA9" s="1284"/>
      <c r="AB9" s="990"/>
      <c r="AC9" s="990"/>
      <c r="AD9" s="1284">
        <v>1</v>
      </c>
      <c r="AE9" s="1284"/>
      <c r="AF9" s="990"/>
      <c r="AG9" s="990"/>
      <c r="AH9" s="1284">
        <v>1</v>
      </c>
      <c r="AI9" s="1284"/>
      <c r="AJ9" s="990"/>
      <c r="AK9" s="990"/>
      <c r="AL9" s="1284">
        <v>1</v>
      </c>
      <c r="AM9" s="1284"/>
      <c r="AN9" s="990"/>
      <c r="AO9" s="990"/>
      <c r="AP9" s="1284">
        <v>1</v>
      </c>
      <c r="AQ9" s="1284"/>
      <c r="AR9" s="990"/>
      <c r="AS9" s="990"/>
      <c r="AT9" s="1284">
        <v>1</v>
      </c>
      <c r="AU9" s="1284"/>
      <c r="AV9" s="990"/>
      <c r="AW9" s="990"/>
      <c r="AX9" s="1284">
        <v>1</v>
      </c>
      <c r="AY9" s="1284"/>
      <c r="AZ9" s="1265"/>
      <c r="BA9" s="1265"/>
      <c r="BB9" s="1284">
        <v>5</v>
      </c>
      <c r="BC9" s="1285"/>
      <c r="BD9" s="129">
        <f t="shared" si="0"/>
        <v>3</v>
      </c>
      <c r="BE9" s="162">
        <f t="shared" si="1"/>
        <v>16</v>
      </c>
      <c r="BF9" s="131">
        <f t="shared" si="2"/>
        <v>0.1875</v>
      </c>
      <c r="BG9" s="132">
        <f t="shared" si="3"/>
        <v>4.6875000000000007E-3</v>
      </c>
      <c r="BH9" s="133">
        <f t="shared" si="4"/>
        <v>2.5000000000000001E-2</v>
      </c>
      <c r="BI9" s="257">
        <f t="shared" si="5"/>
        <v>4.6875000000000007E-3</v>
      </c>
    </row>
    <row r="10" spans="1:61" ht="26.25" thickBot="1" x14ac:dyDescent="0.25">
      <c r="A10" s="1300"/>
      <c r="B10" s="994"/>
      <c r="C10" s="25" t="s">
        <v>384</v>
      </c>
      <c r="D10" s="33" t="s">
        <v>385</v>
      </c>
      <c r="E10" s="33" t="s">
        <v>385</v>
      </c>
      <c r="F10" s="171">
        <v>2.5000000000000001E-2</v>
      </c>
      <c r="G10" s="169" t="s">
        <v>132</v>
      </c>
      <c r="H10" s="1226"/>
      <c r="I10" s="1226"/>
      <c r="J10" s="1288"/>
      <c r="K10" s="1288"/>
      <c r="L10" s="1226"/>
      <c r="M10" s="1226"/>
      <c r="N10" s="1288"/>
      <c r="O10" s="1288"/>
      <c r="P10" s="1226"/>
      <c r="Q10" s="1226"/>
      <c r="R10" s="1288"/>
      <c r="S10" s="1288"/>
      <c r="T10" s="1226"/>
      <c r="U10" s="1226"/>
      <c r="V10" s="1288"/>
      <c r="W10" s="1288"/>
      <c r="X10" s="1226"/>
      <c r="Y10" s="1226"/>
      <c r="Z10" s="1288"/>
      <c r="AA10" s="1288"/>
      <c r="AB10" s="1226"/>
      <c r="AC10" s="1226"/>
      <c r="AD10" s="1288"/>
      <c r="AE10" s="1288"/>
      <c r="AF10" s="1226"/>
      <c r="AG10" s="1226"/>
      <c r="AH10" s="1288"/>
      <c r="AI10" s="1288"/>
      <c r="AJ10" s="1226"/>
      <c r="AK10" s="1226"/>
      <c r="AL10" s="1288"/>
      <c r="AM10" s="1288"/>
      <c r="AN10" s="1226"/>
      <c r="AO10" s="1226"/>
      <c r="AP10" s="1288"/>
      <c r="AQ10" s="1288"/>
      <c r="AR10" s="1226"/>
      <c r="AS10" s="1226"/>
      <c r="AT10" s="1288"/>
      <c r="AU10" s="1288"/>
      <c r="AV10" s="1226"/>
      <c r="AW10" s="1226"/>
      <c r="AX10" s="1288"/>
      <c r="AY10" s="1288"/>
      <c r="AZ10" s="1265"/>
      <c r="BA10" s="1265"/>
      <c r="BB10" s="1286">
        <v>1</v>
      </c>
      <c r="BC10" s="1287"/>
      <c r="BD10" s="129">
        <f t="shared" si="0"/>
        <v>0</v>
      </c>
      <c r="BE10" s="162">
        <f t="shared" si="1"/>
        <v>1</v>
      </c>
      <c r="BF10" s="131">
        <f t="shared" si="2"/>
        <v>0</v>
      </c>
      <c r="BG10" s="132">
        <f t="shared" si="3"/>
        <v>0</v>
      </c>
      <c r="BH10" s="133">
        <f t="shared" si="4"/>
        <v>2.5000000000000001E-2</v>
      </c>
      <c r="BI10" s="257">
        <f t="shared" si="5"/>
        <v>0</v>
      </c>
    </row>
    <row r="11" spans="1:61" ht="39" thickBot="1" x14ac:dyDescent="0.25">
      <c r="A11" s="1291" t="s">
        <v>386</v>
      </c>
      <c r="B11" s="994">
        <v>0.1</v>
      </c>
      <c r="C11" s="25" t="s">
        <v>387</v>
      </c>
      <c r="D11" s="33" t="s">
        <v>388</v>
      </c>
      <c r="E11" s="33" t="s">
        <v>389</v>
      </c>
      <c r="F11" s="167">
        <v>0.05</v>
      </c>
      <c r="G11" s="172" t="s">
        <v>198</v>
      </c>
      <c r="H11" s="1225">
        <v>8.3299999999999999E-2</v>
      </c>
      <c r="I11" s="1009"/>
      <c r="J11" s="1281">
        <v>8.3299999999999999E-2</v>
      </c>
      <c r="K11" s="1281"/>
      <c r="L11" s="1224">
        <v>8.3299999999999999E-2</v>
      </c>
      <c r="M11" s="1162"/>
      <c r="N11" s="1281">
        <v>8.3299999999999999E-2</v>
      </c>
      <c r="O11" s="1281"/>
      <c r="P11" s="1225">
        <v>8.3299999999999999E-2</v>
      </c>
      <c r="Q11" s="1009"/>
      <c r="R11" s="1281">
        <v>8.3299999999999999E-2</v>
      </c>
      <c r="S11" s="1281"/>
      <c r="T11" s="1153"/>
      <c r="U11" s="1154"/>
      <c r="V11" s="1281">
        <v>8.3299999999999999E-2</v>
      </c>
      <c r="W11" s="1281"/>
      <c r="X11" s="990"/>
      <c r="Y11" s="990"/>
      <c r="Z11" s="1281">
        <v>8.3299999999999999E-2</v>
      </c>
      <c r="AA11" s="1281"/>
      <c r="AB11" s="1153"/>
      <c r="AC11" s="1154"/>
      <c r="AD11" s="1281">
        <v>8.3299999999999999E-2</v>
      </c>
      <c r="AE11" s="1281"/>
      <c r="AF11" s="990"/>
      <c r="AG11" s="990"/>
      <c r="AH11" s="1281">
        <v>8.3299999999999999E-2</v>
      </c>
      <c r="AI11" s="1281"/>
      <c r="AJ11" s="1153"/>
      <c r="AK11" s="1154"/>
      <c r="AL11" s="1281">
        <v>8.3299999999999999E-2</v>
      </c>
      <c r="AM11" s="1281"/>
      <c r="AN11" s="990"/>
      <c r="AO11" s="990"/>
      <c r="AP11" s="1281">
        <v>8.3299999999999999E-2</v>
      </c>
      <c r="AQ11" s="1281"/>
      <c r="AR11" s="1153"/>
      <c r="AS11" s="1154"/>
      <c r="AT11" s="1281">
        <v>8.3299999999999999E-2</v>
      </c>
      <c r="AU11" s="1281"/>
      <c r="AV11" s="990"/>
      <c r="AW11" s="990"/>
      <c r="AX11" s="1281">
        <v>8.3299999999999999E-2</v>
      </c>
      <c r="AY11" s="1281"/>
      <c r="AZ11" s="1265"/>
      <c r="BA11" s="1265"/>
      <c r="BB11" s="1281">
        <v>8.3299999999999999E-2</v>
      </c>
      <c r="BC11" s="1281"/>
      <c r="BD11" s="263">
        <f t="shared" si="0"/>
        <v>0.24990000000000001</v>
      </c>
      <c r="BE11" s="149">
        <f t="shared" si="1"/>
        <v>0.99960000000000016</v>
      </c>
      <c r="BF11" s="131">
        <f t="shared" si="2"/>
        <v>0.24999999999999997</v>
      </c>
      <c r="BG11" s="132">
        <f t="shared" si="3"/>
        <v>1.2499999999999999E-2</v>
      </c>
      <c r="BH11" s="133">
        <f t="shared" si="4"/>
        <v>0.05</v>
      </c>
      <c r="BI11" s="257">
        <f t="shared" si="5"/>
        <v>1.2499999999999999E-2</v>
      </c>
    </row>
    <row r="12" spans="1:61" ht="66.75" customHeight="1" thickBot="1" x14ac:dyDescent="0.25">
      <c r="A12" s="1292"/>
      <c r="B12" s="994"/>
      <c r="C12" s="25" t="s">
        <v>390</v>
      </c>
      <c r="D12" s="33" t="s">
        <v>391</v>
      </c>
      <c r="E12" s="33" t="s">
        <v>392</v>
      </c>
      <c r="F12" s="171">
        <v>0.03</v>
      </c>
      <c r="G12" s="172" t="s">
        <v>202</v>
      </c>
      <c r="H12" s="1226"/>
      <c r="I12" s="1226"/>
      <c r="J12" s="1295"/>
      <c r="K12" s="1295"/>
      <c r="L12" s="1296"/>
      <c r="M12" s="1296"/>
      <c r="N12" s="1295"/>
      <c r="O12" s="1295"/>
      <c r="P12" s="1297"/>
      <c r="Q12" s="1226"/>
      <c r="R12" s="1295"/>
      <c r="S12" s="1295"/>
      <c r="T12" s="997"/>
      <c r="U12" s="997"/>
      <c r="V12" s="1295"/>
      <c r="W12" s="1295"/>
      <c r="X12" s="997"/>
      <c r="Y12" s="997"/>
      <c r="Z12" s="1295"/>
      <c r="AA12" s="1295"/>
      <c r="AB12" s="997"/>
      <c r="AC12" s="997"/>
      <c r="AD12" s="1295"/>
      <c r="AE12" s="1295"/>
      <c r="AF12" s="997"/>
      <c r="AG12" s="997"/>
      <c r="AH12" s="1295"/>
      <c r="AI12" s="1295"/>
      <c r="AJ12" s="997"/>
      <c r="AK12" s="997"/>
      <c r="AL12" s="1295"/>
      <c r="AM12" s="1295"/>
      <c r="AN12" s="997"/>
      <c r="AO12" s="997"/>
      <c r="AP12" s="1295"/>
      <c r="AQ12" s="1295"/>
      <c r="AR12" s="997"/>
      <c r="AS12" s="997"/>
      <c r="AT12" s="1295"/>
      <c r="AU12" s="1295"/>
      <c r="AV12" s="997"/>
      <c r="AW12" s="997"/>
      <c r="AX12" s="1295"/>
      <c r="AY12" s="1295"/>
      <c r="AZ12" s="1275"/>
      <c r="BA12" s="1275"/>
      <c r="BB12" s="1293">
        <v>0.05</v>
      </c>
      <c r="BC12" s="1294"/>
      <c r="BD12" s="129">
        <f t="shared" si="0"/>
        <v>0</v>
      </c>
      <c r="BE12" s="149">
        <f t="shared" si="1"/>
        <v>0.05</v>
      </c>
      <c r="BF12" s="131">
        <f t="shared" si="2"/>
        <v>0</v>
      </c>
      <c r="BG12" s="132">
        <f t="shared" si="3"/>
        <v>0</v>
      </c>
      <c r="BH12" s="133">
        <f t="shared" si="4"/>
        <v>0.03</v>
      </c>
      <c r="BI12" s="257">
        <f t="shared" si="5"/>
        <v>0</v>
      </c>
    </row>
    <row r="13" spans="1:61" ht="39" thickBot="1" x14ac:dyDescent="0.25">
      <c r="A13" s="1292"/>
      <c r="B13" s="994"/>
      <c r="C13" s="25" t="s">
        <v>393</v>
      </c>
      <c r="D13" s="33" t="s">
        <v>394</v>
      </c>
      <c r="E13" s="33" t="s">
        <v>395</v>
      </c>
      <c r="F13" s="171">
        <v>0.02</v>
      </c>
      <c r="G13" s="172" t="s">
        <v>396</v>
      </c>
      <c r="H13" s="1226"/>
      <c r="I13" s="1226"/>
      <c r="J13" s="1295"/>
      <c r="K13" s="1295"/>
      <c r="L13" s="1296"/>
      <c r="M13" s="1296"/>
      <c r="N13" s="1295"/>
      <c r="O13" s="1295"/>
      <c r="P13" s="1297"/>
      <c r="Q13" s="1226"/>
      <c r="R13" s="1295"/>
      <c r="S13" s="1295"/>
      <c r="T13" s="997"/>
      <c r="U13" s="997"/>
      <c r="V13" s="1295"/>
      <c r="W13" s="1295"/>
      <c r="X13" s="997"/>
      <c r="Y13" s="997"/>
      <c r="Z13" s="1295"/>
      <c r="AA13" s="1295"/>
      <c r="AB13" s="997"/>
      <c r="AC13" s="997"/>
      <c r="AD13" s="1295"/>
      <c r="AE13" s="1295"/>
      <c r="AF13" s="997"/>
      <c r="AG13" s="997"/>
      <c r="AH13" s="1295"/>
      <c r="AI13" s="1295"/>
      <c r="AJ13" s="997"/>
      <c r="AK13" s="997"/>
      <c r="AL13" s="1295"/>
      <c r="AM13" s="1295"/>
      <c r="AN13" s="997"/>
      <c r="AO13" s="997"/>
      <c r="AP13" s="1295"/>
      <c r="AQ13" s="1295"/>
      <c r="AR13" s="997"/>
      <c r="AS13" s="997"/>
      <c r="AT13" s="1295"/>
      <c r="AU13" s="1295"/>
      <c r="AV13" s="997"/>
      <c r="AW13" s="997"/>
      <c r="AX13" s="1295"/>
      <c r="AY13" s="1295"/>
      <c r="AZ13" s="1275"/>
      <c r="BA13" s="1275"/>
      <c r="BB13" s="1293">
        <v>0.05</v>
      </c>
      <c r="BC13" s="1294"/>
      <c r="BD13" s="263">
        <f t="shared" si="0"/>
        <v>0</v>
      </c>
      <c r="BE13" s="149">
        <f t="shared" si="1"/>
        <v>0.05</v>
      </c>
      <c r="BF13" s="131">
        <f t="shared" si="2"/>
        <v>0</v>
      </c>
      <c r="BG13" s="132">
        <f t="shared" si="3"/>
        <v>0</v>
      </c>
      <c r="BH13" s="133">
        <f t="shared" si="4"/>
        <v>0.02</v>
      </c>
      <c r="BI13" s="257">
        <f t="shared" si="5"/>
        <v>0</v>
      </c>
    </row>
    <row r="14" spans="1:61" ht="51.75" thickBot="1" x14ac:dyDescent="0.25">
      <c r="A14" s="1291" t="s">
        <v>397</v>
      </c>
      <c r="B14" s="994">
        <v>0.2</v>
      </c>
      <c r="C14" s="168" t="s">
        <v>398</v>
      </c>
      <c r="D14" s="33" t="s">
        <v>399</v>
      </c>
      <c r="E14" s="33" t="s">
        <v>400</v>
      </c>
      <c r="F14" s="171">
        <v>0.03</v>
      </c>
      <c r="G14" s="172" t="s">
        <v>207</v>
      </c>
      <c r="H14" s="1226"/>
      <c r="I14" s="1226"/>
      <c r="J14" s="1226"/>
      <c r="K14" s="1226"/>
      <c r="L14" s="1226"/>
      <c r="M14" s="1226"/>
      <c r="N14" s="1226"/>
      <c r="O14" s="1226"/>
      <c r="P14" s="1226"/>
      <c r="Q14" s="1226"/>
      <c r="R14" s="1226"/>
      <c r="S14" s="1226"/>
      <c r="T14" s="1226"/>
      <c r="U14" s="1226"/>
      <c r="V14" s="1286">
        <v>2</v>
      </c>
      <c r="W14" s="1286"/>
      <c r="X14" s="1226"/>
      <c r="Y14" s="1226"/>
      <c r="Z14" s="1226"/>
      <c r="AA14" s="1226"/>
      <c r="AB14" s="998"/>
      <c r="AC14" s="998"/>
      <c r="AD14" s="1226"/>
      <c r="AE14" s="1226"/>
      <c r="AF14" s="998"/>
      <c r="AG14" s="998"/>
      <c r="AH14" s="1226"/>
      <c r="AI14" s="1226"/>
      <c r="AJ14" s="998"/>
      <c r="AK14" s="998"/>
      <c r="AL14" s="1226"/>
      <c r="AM14" s="1226"/>
      <c r="AN14" s="998"/>
      <c r="AO14" s="998"/>
      <c r="AP14" s="1226"/>
      <c r="AQ14" s="1226"/>
      <c r="AR14" s="998"/>
      <c r="AS14" s="998"/>
      <c r="AT14" s="1226"/>
      <c r="AU14" s="1226"/>
      <c r="AV14" s="998"/>
      <c r="AW14" s="998"/>
      <c r="AX14" s="1226"/>
      <c r="AY14" s="1226"/>
      <c r="AZ14" s="1265"/>
      <c r="BA14" s="1265"/>
      <c r="BB14" s="1226"/>
      <c r="BC14" s="1240"/>
      <c r="BD14" s="129">
        <f t="shared" si="0"/>
        <v>0</v>
      </c>
      <c r="BE14" s="162">
        <f t="shared" si="1"/>
        <v>2</v>
      </c>
      <c r="BF14" s="131">
        <f t="shared" si="2"/>
        <v>0</v>
      </c>
      <c r="BG14" s="132">
        <f t="shared" si="3"/>
        <v>0</v>
      </c>
      <c r="BH14" s="133">
        <f t="shared" si="4"/>
        <v>0.03</v>
      </c>
      <c r="BI14" s="257">
        <f t="shared" si="5"/>
        <v>0</v>
      </c>
    </row>
    <row r="15" spans="1:61" ht="39" thickBot="1" x14ac:dyDescent="0.25">
      <c r="A15" s="1291"/>
      <c r="B15" s="994"/>
      <c r="C15" s="25" t="s">
        <v>401</v>
      </c>
      <c r="D15" s="33" t="s">
        <v>402</v>
      </c>
      <c r="E15" s="33" t="s">
        <v>403</v>
      </c>
      <c r="F15" s="171">
        <v>0.04</v>
      </c>
      <c r="G15" s="172" t="s">
        <v>211</v>
      </c>
      <c r="H15" s="998"/>
      <c r="I15" s="998"/>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998"/>
      <c r="AO15" s="998"/>
      <c r="AP15" s="1286">
        <v>1</v>
      </c>
      <c r="AQ15" s="1286"/>
      <c r="AR15" s="998"/>
      <c r="AS15" s="998"/>
      <c r="AT15" s="1226"/>
      <c r="AU15" s="1226"/>
      <c r="AV15" s="998"/>
      <c r="AW15" s="998"/>
      <c r="AX15" s="1226"/>
      <c r="AY15" s="1226"/>
      <c r="AZ15" s="1265"/>
      <c r="BA15" s="1265"/>
      <c r="BB15" s="1226"/>
      <c r="BC15" s="1240"/>
      <c r="BD15" s="129">
        <f t="shared" si="0"/>
        <v>0</v>
      </c>
      <c r="BE15" s="162">
        <f t="shared" si="1"/>
        <v>1</v>
      </c>
      <c r="BF15" s="131">
        <f t="shared" si="2"/>
        <v>0</v>
      </c>
      <c r="BG15" s="132">
        <f t="shared" si="3"/>
        <v>0</v>
      </c>
      <c r="BH15" s="133">
        <f t="shared" si="4"/>
        <v>0.04</v>
      </c>
      <c r="BI15" s="257">
        <f t="shared" si="5"/>
        <v>0</v>
      </c>
    </row>
    <row r="16" spans="1:61" ht="39" thickBot="1" x14ac:dyDescent="0.25">
      <c r="A16" s="1291"/>
      <c r="B16" s="994"/>
      <c r="C16" s="25" t="s">
        <v>404</v>
      </c>
      <c r="D16" s="33" t="s">
        <v>405</v>
      </c>
      <c r="E16" s="33" t="s">
        <v>406</v>
      </c>
      <c r="F16" s="171">
        <v>0.08</v>
      </c>
      <c r="G16" s="172" t="s">
        <v>217</v>
      </c>
      <c r="H16" s="998"/>
      <c r="I16" s="998"/>
      <c r="J16" s="1226"/>
      <c r="K16" s="1226"/>
      <c r="L16" s="1226"/>
      <c r="M16" s="1226"/>
      <c r="N16" s="1226"/>
      <c r="O16" s="1226"/>
      <c r="P16" s="1226"/>
      <c r="Q16" s="1226"/>
      <c r="R16" s="1226"/>
      <c r="S16" s="1226"/>
      <c r="T16" s="1226"/>
      <c r="U16" s="1226"/>
      <c r="V16" s="1226"/>
      <c r="W16" s="1226"/>
      <c r="X16" s="998"/>
      <c r="Y16" s="998"/>
      <c r="Z16" s="1226"/>
      <c r="AA16" s="1226"/>
      <c r="AB16" s="1226"/>
      <c r="AC16" s="1226"/>
      <c r="AD16" s="1226"/>
      <c r="AE16" s="1226"/>
      <c r="AF16" s="1226"/>
      <c r="AG16" s="1226"/>
      <c r="AH16" s="1226"/>
      <c r="AI16" s="1226"/>
      <c r="AJ16" s="1226"/>
      <c r="AK16" s="1226"/>
      <c r="AL16" s="1226"/>
      <c r="AM16" s="1226"/>
      <c r="AN16" s="1226"/>
      <c r="AO16" s="1226"/>
      <c r="AP16" s="1286">
        <v>1</v>
      </c>
      <c r="AQ16" s="1286"/>
      <c r="AR16" s="998"/>
      <c r="AS16" s="998"/>
      <c r="AT16" s="1226"/>
      <c r="AU16" s="1226"/>
      <c r="AV16" s="998"/>
      <c r="AW16" s="998"/>
      <c r="AX16" s="1226"/>
      <c r="AY16" s="1226"/>
      <c r="AZ16" s="1265"/>
      <c r="BA16" s="1265"/>
      <c r="BB16" s="1226"/>
      <c r="BC16" s="1240"/>
      <c r="BD16" s="129">
        <f t="shared" si="0"/>
        <v>0</v>
      </c>
      <c r="BE16" s="162">
        <f t="shared" si="1"/>
        <v>1</v>
      </c>
      <c r="BF16" s="131">
        <f t="shared" si="2"/>
        <v>0</v>
      </c>
      <c r="BG16" s="132">
        <f t="shared" si="3"/>
        <v>0</v>
      </c>
      <c r="BH16" s="133">
        <f t="shared" si="4"/>
        <v>0.08</v>
      </c>
      <c r="BI16" s="257">
        <f t="shared" si="5"/>
        <v>0</v>
      </c>
    </row>
    <row r="17" spans="1:61" ht="39" thickBot="1" x14ac:dyDescent="0.25">
      <c r="A17" s="1291"/>
      <c r="B17" s="994"/>
      <c r="C17" s="25" t="s">
        <v>407</v>
      </c>
      <c r="D17" s="33" t="s">
        <v>408</v>
      </c>
      <c r="E17" s="33" t="s">
        <v>409</v>
      </c>
      <c r="F17" s="171">
        <v>0.05</v>
      </c>
      <c r="G17" s="172">
        <v>4.4000000000000004</v>
      </c>
      <c r="H17" s="998"/>
      <c r="I17" s="998"/>
      <c r="J17" s="1226"/>
      <c r="K17" s="1226"/>
      <c r="L17" s="1226"/>
      <c r="M17" s="1226"/>
      <c r="N17" s="1226"/>
      <c r="O17" s="1226"/>
      <c r="P17" s="998"/>
      <c r="Q17" s="998"/>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86">
        <v>10</v>
      </c>
      <c r="AU17" s="1286"/>
      <c r="AV17" s="998"/>
      <c r="AW17" s="998"/>
      <c r="AX17" s="1226"/>
      <c r="AY17" s="1226"/>
      <c r="AZ17" s="1265"/>
      <c r="BA17" s="1265"/>
      <c r="BB17" s="1226"/>
      <c r="BC17" s="1240"/>
      <c r="BD17" s="129">
        <f t="shared" si="0"/>
        <v>0</v>
      </c>
      <c r="BE17" s="162">
        <f t="shared" si="1"/>
        <v>10</v>
      </c>
      <c r="BF17" s="131">
        <f t="shared" si="2"/>
        <v>0</v>
      </c>
      <c r="BG17" s="132">
        <f t="shared" si="3"/>
        <v>0</v>
      </c>
      <c r="BH17" s="133">
        <f t="shared" si="4"/>
        <v>0.05</v>
      </c>
      <c r="BI17" s="257">
        <f t="shared" si="5"/>
        <v>0</v>
      </c>
    </row>
    <row r="18" spans="1:61" ht="39" thickBot="1" x14ac:dyDescent="0.25">
      <c r="A18" s="1291" t="s">
        <v>429</v>
      </c>
      <c r="B18" s="994">
        <v>0.3</v>
      </c>
      <c r="C18" s="33" t="s">
        <v>410</v>
      </c>
      <c r="D18" s="33" t="s">
        <v>411</v>
      </c>
      <c r="E18" s="33" t="s">
        <v>412</v>
      </c>
      <c r="F18" s="171">
        <v>0.03</v>
      </c>
      <c r="G18" s="172">
        <v>5.0999999999999996</v>
      </c>
      <c r="H18" s="1268">
        <v>8.3299999999999999E-2</v>
      </c>
      <c r="I18" s="1268"/>
      <c r="J18" s="1281">
        <v>8.3299999999999999E-2</v>
      </c>
      <c r="K18" s="1281"/>
      <c r="L18" s="1268">
        <v>8.3299999999999999E-2</v>
      </c>
      <c r="M18" s="1268"/>
      <c r="N18" s="1281">
        <v>8.3299999999999999E-2</v>
      </c>
      <c r="O18" s="1281"/>
      <c r="P18" s="1268">
        <v>8.3299999999999999E-2</v>
      </c>
      <c r="Q18" s="1268"/>
      <c r="R18" s="1281">
        <v>8.3299999999999999E-2</v>
      </c>
      <c r="S18" s="1281"/>
      <c r="T18" s="1282"/>
      <c r="U18" s="1282"/>
      <c r="V18" s="1281">
        <v>8.3299999999999999E-2</v>
      </c>
      <c r="W18" s="1281"/>
      <c r="X18" s="1282"/>
      <c r="Y18" s="1282"/>
      <c r="Z18" s="1281">
        <v>8.3299999999999999E-2</v>
      </c>
      <c r="AA18" s="1281"/>
      <c r="AB18" s="1282"/>
      <c r="AC18" s="1282"/>
      <c r="AD18" s="1281">
        <v>8.3299999999999999E-2</v>
      </c>
      <c r="AE18" s="1281"/>
      <c r="AF18" s="1282"/>
      <c r="AG18" s="1282"/>
      <c r="AH18" s="1281">
        <v>8.3299999999999999E-2</v>
      </c>
      <c r="AI18" s="1281"/>
      <c r="AJ18" s="1282"/>
      <c r="AK18" s="1282"/>
      <c r="AL18" s="1281">
        <v>8.3299999999999999E-2</v>
      </c>
      <c r="AM18" s="1281"/>
      <c r="AN18" s="1282"/>
      <c r="AO18" s="1282"/>
      <c r="AP18" s="1281">
        <v>8.3299999999999999E-2</v>
      </c>
      <c r="AQ18" s="1281"/>
      <c r="AR18" s="1282"/>
      <c r="AS18" s="1282"/>
      <c r="AT18" s="1281">
        <v>8.3299999999999999E-2</v>
      </c>
      <c r="AU18" s="1281"/>
      <c r="AV18" s="1282"/>
      <c r="AW18" s="1282"/>
      <c r="AX18" s="1281">
        <v>8.3299999999999999E-2</v>
      </c>
      <c r="AY18" s="1281"/>
      <c r="AZ18" s="1265"/>
      <c r="BA18" s="1265"/>
      <c r="BB18" s="1281">
        <v>8.3299999999999999E-2</v>
      </c>
      <c r="BC18" s="1283"/>
      <c r="BD18" s="263">
        <f t="shared" si="0"/>
        <v>0.24990000000000001</v>
      </c>
      <c r="BE18" s="149">
        <f t="shared" si="1"/>
        <v>0.99960000000000016</v>
      </c>
      <c r="BF18" s="131">
        <f t="shared" si="2"/>
        <v>0.24999999999999997</v>
      </c>
      <c r="BG18" s="132">
        <f t="shared" si="3"/>
        <v>7.4999999999999989E-3</v>
      </c>
      <c r="BH18" s="133">
        <f t="shared" si="4"/>
        <v>0.03</v>
      </c>
      <c r="BI18" s="257">
        <f t="shared" si="5"/>
        <v>7.4999999999999989E-3</v>
      </c>
    </row>
    <row r="19" spans="1:61" ht="26.25" thickBot="1" x14ac:dyDescent="0.25">
      <c r="A19" s="1292"/>
      <c r="B19" s="994"/>
      <c r="C19" s="25" t="s">
        <v>413</v>
      </c>
      <c r="D19" s="33" t="s">
        <v>414</v>
      </c>
      <c r="E19" s="33" t="s">
        <v>415</v>
      </c>
      <c r="F19" s="171">
        <v>0.05</v>
      </c>
      <c r="G19" s="172">
        <v>5.2</v>
      </c>
      <c r="H19" s="1226">
        <v>0</v>
      </c>
      <c r="I19" s="1226"/>
      <c r="J19" s="1288"/>
      <c r="K19" s="1288"/>
      <c r="L19" s="1226"/>
      <c r="M19" s="1226"/>
      <c r="N19" s="1288"/>
      <c r="O19" s="1288"/>
      <c r="P19" s="1226"/>
      <c r="Q19" s="1226"/>
      <c r="R19" s="1288"/>
      <c r="S19" s="1288"/>
      <c r="T19" s="1226"/>
      <c r="U19" s="1226"/>
      <c r="V19" s="1288"/>
      <c r="W19" s="1288"/>
      <c r="X19" s="1226"/>
      <c r="Y19" s="1226"/>
      <c r="Z19" s="1288"/>
      <c r="AA19" s="1288"/>
      <c r="AB19" s="1226"/>
      <c r="AC19" s="1226"/>
      <c r="AD19" s="1284">
        <v>1</v>
      </c>
      <c r="AE19" s="1284"/>
      <c r="AF19" s="1226"/>
      <c r="AG19" s="1226"/>
      <c r="AH19" s="1288"/>
      <c r="AI19" s="1288"/>
      <c r="AJ19" s="1226"/>
      <c r="AK19" s="1226"/>
      <c r="AL19" s="1288"/>
      <c r="AM19" s="1288"/>
      <c r="AN19" s="1226"/>
      <c r="AO19" s="1226"/>
      <c r="AP19" s="1288"/>
      <c r="AQ19" s="1288"/>
      <c r="AR19" s="1226"/>
      <c r="AS19" s="1226"/>
      <c r="AT19" s="1288"/>
      <c r="AU19" s="1288"/>
      <c r="AV19" s="1226"/>
      <c r="AW19" s="1226"/>
      <c r="AX19" s="1288"/>
      <c r="AY19" s="1288"/>
      <c r="AZ19" s="1265"/>
      <c r="BA19" s="1265"/>
      <c r="BB19" s="1286">
        <v>1</v>
      </c>
      <c r="BC19" s="1287"/>
      <c r="BD19" s="129">
        <f t="shared" si="0"/>
        <v>0</v>
      </c>
      <c r="BE19" s="162">
        <f t="shared" si="1"/>
        <v>2</v>
      </c>
      <c r="BF19" s="131">
        <f t="shared" si="2"/>
        <v>0</v>
      </c>
      <c r="BG19" s="132">
        <f t="shared" si="3"/>
        <v>0</v>
      </c>
      <c r="BH19" s="133">
        <f t="shared" si="4"/>
        <v>0.05</v>
      </c>
      <c r="BI19" s="257">
        <f t="shared" si="5"/>
        <v>0</v>
      </c>
    </row>
    <row r="20" spans="1:61" ht="39" thickBot="1" x14ac:dyDescent="0.25">
      <c r="A20" s="1292"/>
      <c r="B20" s="994"/>
      <c r="C20" s="25" t="s">
        <v>416</v>
      </c>
      <c r="D20" s="33" t="s">
        <v>417</v>
      </c>
      <c r="E20" s="33" t="s">
        <v>418</v>
      </c>
      <c r="F20" s="171">
        <v>0.05</v>
      </c>
      <c r="G20" s="172">
        <v>5.3</v>
      </c>
      <c r="H20" s="998"/>
      <c r="I20" s="998"/>
      <c r="J20" s="1288"/>
      <c r="K20" s="1288"/>
      <c r="L20" s="1226"/>
      <c r="M20" s="1226"/>
      <c r="N20" s="1288"/>
      <c r="O20" s="1288"/>
      <c r="P20" s="1009">
        <v>0</v>
      </c>
      <c r="Q20" s="1009"/>
      <c r="R20" s="1284">
        <v>1</v>
      </c>
      <c r="S20" s="1284"/>
      <c r="T20" s="998"/>
      <c r="U20" s="998"/>
      <c r="V20" s="1284">
        <v>1</v>
      </c>
      <c r="W20" s="1284"/>
      <c r="X20" s="998"/>
      <c r="Y20" s="998"/>
      <c r="Z20" s="1284">
        <v>1</v>
      </c>
      <c r="AA20" s="1284"/>
      <c r="AB20" s="998"/>
      <c r="AC20" s="998"/>
      <c r="AD20" s="1284">
        <v>1</v>
      </c>
      <c r="AE20" s="1284"/>
      <c r="AF20" s="998"/>
      <c r="AG20" s="998"/>
      <c r="AH20" s="1284">
        <v>1</v>
      </c>
      <c r="AI20" s="1284"/>
      <c r="AJ20" s="998"/>
      <c r="AK20" s="998"/>
      <c r="AL20" s="1284">
        <v>1</v>
      </c>
      <c r="AM20" s="1284"/>
      <c r="AN20" s="998"/>
      <c r="AO20" s="998"/>
      <c r="AP20" s="1284">
        <v>1</v>
      </c>
      <c r="AQ20" s="1284"/>
      <c r="AR20" s="998"/>
      <c r="AS20" s="998"/>
      <c r="AT20" s="1284">
        <v>2</v>
      </c>
      <c r="AU20" s="1284"/>
      <c r="AV20" s="998"/>
      <c r="AW20" s="998"/>
      <c r="AX20" s="1284">
        <v>2</v>
      </c>
      <c r="AY20" s="1284"/>
      <c r="AZ20" s="1265"/>
      <c r="BA20" s="1265"/>
      <c r="BB20" s="1284">
        <v>2</v>
      </c>
      <c r="BC20" s="1285"/>
      <c r="BD20" s="129">
        <f t="shared" si="0"/>
        <v>0</v>
      </c>
      <c r="BE20" s="162">
        <f t="shared" si="1"/>
        <v>13</v>
      </c>
      <c r="BF20" s="131">
        <f t="shared" si="2"/>
        <v>0</v>
      </c>
      <c r="BG20" s="132">
        <f t="shared" si="3"/>
        <v>0</v>
      </c>
      <c r="BH20" s="133">
        <f t="shared" si="4"/>
        <v>0.05</v>
      </c>
      <c r="BI20" s="257">
        <f t="shared" si="5"/>
        <v>3.8461538461538464E-3</v>
      </c>
    </row>
    <row r="21" spans="1:61" ht="26.25" thickBot="1" x14ac:dyDescent="0.25">
      <c r="A21" s="1292"/>
      <c r="B21" s="994"/>
      <c r="C21" s="25" t="s">
        <v>419</v>
      </c>
      <c r="D21" s="33" t="s">
        <v>420</v>
      </c>
      <c r="E21" s="33" t="s">
        <v>1439</v>
      </c>
      <c r="F21" s="171">
        <v>0.1</v>
      </c>
      <c r="G21" s="172">
        <v>5.4</v>
      </c>
      <c r="H21" s="1009">
        <v>16.66</v>
      </c>
      <c r="I21" s="1009"/>
      <c r="J21" s="1284">
        <v>16.66</v>
      </c>
      <c r="K21" s="1284"/>
      <c r="L21" s="1009">
        <v>16.66</v>
      </c>
      <c r="M21" s="1009"/>
      <c r="N21" s="1284">
        <v>16.66</v>
      </c>
      <c r="O21" s="1284"/>
      <c r="P21" s="1009">
        <v>10</v>
      </c>
      <c r="Q21" s="1009"/>
      <c r="R21" s="1284">
        <v>16.66</v>
      </c>
      <c r="S21" s="1284"/>
      <c r="T21" s="998"/>
      <c r="U21" s="998"/>
      <c r="V21" s="1284">
        <v>16.66</v>
      </c>
      <c r="W21" s="1284"/>
      <c r="X21" s="990"/>
      <c r="Y21" s="990"/>
      <c r="Z21" s="1284">
        <v>16.66</v>
      </c>
      <c r="AA21" s="1284"/>
      <c r="AB21" s="998"/>
      <c r="AC21" s="998"/>
      <c r="AD21" s="1284">
        <v>16.66</v>
      </c>
      <c r="AE21" s="1284"/>
      <c r="AF21" s="990"/>
      <c r="AG21" s="990"/>
      <c r="AH21" s="1284">
        <v>16.66</v>
      </c>
      <c r="AI21" s="1284"/>
      <c r="AJ21" s="998"/>
      <c r="AK21" s="998"/>
      <c r="AL21" s="1284">
        <v>16.66</v>
      </c>
      <c r="AM21" s="1284"/>
      <c r="AN21" s="990"/>
      <c r="AO21" s="990"/>
      <c r="AP21" s="1284">
        <v>16.66</v>
      </c>
      <c r="AQ21" s="1284"/>
      <c r="AR21" s="998"/>
      <c r="AS21" s="998"/>
      <c r="AT21" s="1284">
        <v>16.66</v>
      </c>
      <c r="AU21" s="1284"/>
      <c r="AV21" s="990"/>
      <c r="AW21" s="990"/>
      <c r="AX21" s="1284">
        <v>16.66</v>
      </c>
      <c r="AY21" s="1284"/>
      <c r="AZ21" s="1265"/>
      <c r="BA21" s="1265"/>
      <c r="BB21" s="1284">
        <v>16.739999999999998</v>
      </c>
      <c r="BC21" s="1285"/>
      <c r="BD21" s="129">
        <f t="shared" si="0"/>
        <v>43.32</v>
      </c>
      <c r="BE21" s="162">
        <f t="shared" si="1"/>
        <v>200</v>
      </c>
      <c r="BF21" s="131">
        <f t="shared" si="2"/>
        <v>0.21660000000000001</v>
      </c>
      <c r="BG21" s="132">
        <f t="shared" si="3"/>
        <v>2.1660000000000002E-2</v>
      </c>
      <c r="BH21" s="133">
        <f t="shared" si="4"/>
        <v>0.1</v>
      </c>
      <c r="BI21" s="257">
        <f t="shared" si="5"/>
        <v>2.4990000000000002E-2</v>
      </c>
    </row>
    <row r="22" spans="1:61" ht="26.25" thickBot="1" x14ac:dyDescent="0.25">
      <c r="A22" s="1292"/>
      <c r="B22" s="994"/>
      <c r="C22" s="25" t="s">
        <v>421</v>
      </c>
      <c r="D22" s="33" t="s">
        <v>422</v>
      </c>
      <c r="E22" s="33" t="s">
        <v>1440</v>
      </c>
      <c r="F22" s="171">
        <v>7.0000000000000007E-2</v>
      </c>
      <c r="G22" s="172">
        <v>5.5</v>
      </c>
      <c r="H22" s="1226"/>
      <c r="I22" s="1226"/>
      <c r="J22" s="1288"/>
      <c r="K22" s="1288"/>
      <c r="L22" s="1226"/>
      <c r="M22" s="1226"/>
      <c r="N22" s="1288"/>
      <c r="O22" s="1288"/>
      <c r="P22" s="1226"/>
      <c r="Q22" s="1226"/>
      <c r="R22" s="1288"/>
      <c r="S22" s="1288"/>
      <c r="T22" s="1226"/>
      <c r="U22" s="1226"/>
      <c r="V22" s="1288"/>
      <c r="W22" s="1288"/>
      <c r="X22" s="997"/>
      <c r="Y22" s="997"/>
      <c r="Z22" s="1288"/>
      <c r="AA22" s="1288"/>
      <c r="AB22" s="1226"/>
      <c r="AC22" s="1226"/>
      <c r="AD22" s="1288"/>
      <c r="AE22" s="1288"/>
      <c r="AF22" s="997"/>
      <c r="AG22" s="997"/>
      <c r="AH22" s="1288"/>
      <c r="AI22" s="1288"/>
      <c r="AJ22" s="1226"/>
      <c r="AK22" s="1226"/>
      <c r="AL22" s="1288"/>
      <c r="AM22" s="1288"/>
      <c r="AN22" s="997"/>
      <c r="AO22" s="997"/>
      <c r="AP22" s="1284">
        <v>20</v>
      </c>
      <c r="AQ22" s="1284"/>
      <c r="AR22" s="998"/>
      <c r="AS22" s="998"/>
      <c r="AT22" s="1284">
        <v>20</v>
      </c>
      <c r="AU22" s="1284"/>
      <c r="AV22" s="990"/>
      <c r="AW22" s="990"/>
      <c r="AX22" s="1284">
        <v>20</v>
      </c>
      <c r="AY22" s="1284"/>
      <c r="AZ22" s="1265"/>
      <c r="BA22" s="1265"/>
      <c r="BB22" s="1284">
        <v>20</v>
      </c>
      <c r="BC22" s="1285"/>
      <c r="BD22" s="129">
        <f t="shared" si="0"/>
        <v>0</v>
      </c>
      <c r="BE22" s="162">
        <f t="shared" si="1"/>
        <v>80</v>
      </c>
      <c r="BF22" s="131">
        <f t="shared" si="2"/>
        <v>0</v>
      </c>
      <c r="BG22" s="132">
        <f t="shared" si="3"/>
        <v>0</v>
      </c>
      <c r="BH22" s="133">
        <f t="shared" si="4"/>
        <v>7.0000000000000007E-2</v>
      </c>
      <c r="BI22" s="257">
        <f t="shared" si="5"/>
        <v>0</v>
      </c>
    </row>
    <row r="23" spans="1:61" ht="51.75" thickBot="1" x14ac:dyDescent="0.25">
      <c r="A23" s="1011" t="s">
        <v>430</v>
      </c>
      <c r="B23" s="994">
        <v>0.1</v>
      </c>
      <c r="C23" s="25" t="s">
        <v>423</v>
      </c>
      <c r="D23" s="33" t="s">
        <v>424</v>
      </c>
      <c r="E23" s="33" t="s">
        <v>425</v>
      </c>
      <c r="F23" s="171">
        <v>7.0000000000000007E-2</v>
      </c>
      <c r="G23" s="172">
        <v>6.1</v>
      </c>
      <c r="H23" s="1268">
        <v>8.3299999999999999E-2</v>
      </c>
      <c r="I23" s="1268"/>
      <c r="J23" s="1281">
        <v>8.3299999999999999E-2</v>
      </c>
      <c r="K23" s="1281"/>
      <c r="L23" s="1268">
        <v>8.3299999999999999E-2</v>
      </c>
      <c r="M23" s="1268"/>
      <c r="N23" s="1281">
        <v>8.3299999999999999E-2</v>
      </c>
      <c r="O23" s="1281"/>
      <c r="P23" s="1268">
        <v>8.3299999999999999E-2</v>
      </c>
      <c r="Q23" s="1268"/>
      <c r="R23" s="1281">
        <v>8.3299999999999999E-2</v>
      </c>
      <c r="S23" s="1281"/>
      <c r="T23" s="1282"/>
      <c r="U23" s="1282"/>
      <c r="V23" s="1281">
        <v>8.3299999999999999E-2</v>
      </c>
      <c r="W23" s="1281"/>
      <c r="X23" s="1282"/>
      <c r="Y23" s="1282"/>
      <c r="Z23" s="1281">
        <v>8.3299999999999999E-2</v>
      </c>
      <c r="AA23" s="1281"/>
      <c r="AB23" s="1282"/>
      <c r="AC23" s="1282"/>
      <c r="AD23" s="1281">
        <v>8.3299999999999999E-2</v>
      </c>
      <c r="AE23" s="1281"/>
      <c r="AF23" s="1282"/>
      <c r="AG23" s="1282"/>
      <c r="AH23" s="1281">
        <v>8.3299999999999999E-2</v>
      </c>
      <c r="AI23" s="1281"/>
      <c r="AJ23" s="1282"/>
      <c r="AK23" s="1282"/>
      <c r="AL23" s="1281">
        <v>8.3299999999999999E-2</v>
      </c>
      <c r="AM23" s="1281"/>
      <c r="AN23" s="1282"/>
      <c r="AO23" s="1282"/>
      <c r="AP23" s="1281">
        <v>8.3299999999999999E-2</v>
      </c>
      <c r="AQ23" s="1281"/>
      <c r="AR23" s="1282"/>
      <c r="AS23" s="1282"/>
      <c r="AT23" s="1281">
        <v>8.3299999999999999E-2</v>
      </c>
      <c r="AU23" s="1281"/>
      <c r="AV23" s="1282"/>
      <c r="AW23" s="1282"/>
      <c r="AX23" s="1281">
        <v>8.3299999999999999E-2</v>
      </c>
      <c r="AY23" s="1281"/>
      <c r="AZ23" s="1265"/>
      <c r="BA23" s="1265"/>
      <c r="BB23" s="1281">
        <v>8.3299999999999999E-2</v>
      </c>
      <c r="BC23" s="1283"/>
      <c r="BD23" s="263">
        <f t="shared" si="0"/>
        <v>0.24990000000000001</v>
      </c>
      <c r="BE23" s="149">
        <f t="shared" si="1"/>
        <v>0.99960000000000016</v>
      </c>
      <c r="BF23" s="131">
        <f t="shared" si="2"/>
        <v>0.24999999999999997</v>
      </c>
      <c r="BG23" s="132">
        <f t="shared" si="3"/>
        <v>1.7499999999999998E-2</v>
      </c>
      <c r="BH23" s="133">
        <f t="shared" si="4"/>
        <v>7.0000000000000007E-2</v>
      </c>
      <c r="BI23" s="257">
        <f t="shared" si="5"/>
        <v>1.7499999999999998E-2</v>
      </c>
    </row>
    <row r="24" spans="1:61" ht="39" thickBot="1" x14ac:dyDescent="0.25">
      <c r="A24" s="1289"/>
      <c r="B24" s="1290"/>
      <c r="C24" s="40" t="s">
        <v>426</v>
      </c>
      <c r="D24" s="37" t="s">
        <v>427</v>
      </c>
      <c r="E24" s="37" t="s">
        <v>428</v>
      </c>
      <c r="F24" s="174">
        <v>0.03</v>
      </c>
      <c r="G24" s="173">
        <v>6.2</v>
      </c>
      <c r="H24" s="1268">
        <v>8.3299999999999999E-2</v>
      </c>
      <c r="I24" s="1268"/>
      <c r="J24" s="1281">
        <v>8.3299999999999999E-2</v>
      </c>
      <c r="K24" s="1281"/>
      <c r="L24" s="1268">
        <v>8.3299999999999999E-2</v>
      </c>
      <c r="M24" s="1268"/>
      <c r="N24" s="1281">
        <v>8.3299999999999999E-2</v>
      </c>
      <c r="O24" s="1281"/>
      <c r="P24" s="1268">
        <v>8.3299999999999999E-2</v>
      </c>
      <c r="Q24" s="1268"/>
      <c r="R24" s="1281">
        <v>8.3299999999999999E-2</v>
      </c>
      <c r="S24" s="1281"/>
      <c r="T24" s="1282"/>
      <c r="U24" s="1282"/>
      <c r="V24" s="1281">
        <v>8.3299999999999999E-2</v>
      </c>
      <c r="W24" s="1281"/>
      <c r="X24" s="1282"/>
      <c r="Y24" s="1282"/>
      <c r="Z24" s="1281">
        <v>8.3299999999999999E-2</v>
      </c>
      <c r="AA24" s="1281"/>
      <c r="AB24" s="1282"/>
      <c r="AC24" s="1282"/>
      <c r="AD24" s="1281">
        <v>8.3299999999999999E-2</v>
      </c>
      <c r="AE24" s="1281"/>
      <c r="AF24" s="1282"/>
      <c r="AG24" s="1282"/>
      <c r="AH24" s="1281">
        <v>8.3299999999999999E-2</v>
      </c>
      <c r="AI24" s="1281"/>
      <c r="AJ24" s="1282"/>
      <c r="AK24" s="1282"/>
      <c r="AL24" s="1281">
        <v>8.3299999999999999E-2</v>
      </c>
      <c r="AM24" s="1281"/>
      <c r="AN24" s="1282"/>
      <c r="AO24" s="1282"/>
      <c r="AP24" s="1281">
        <v>8.3299999999999999E-2</v>
      </c>
      <c r="AQ24" s="1281"/>
      <c r="AR24" s="1282"/>
      <c r="AS24" s="1282"/>
      <c r="AT24" s="1281">
        <v>8.3299999999999999E-2</v>
      </c>
      <c r="AU24" s="1281"/>
      <c r="AV24" s="1282"/>
      <c r="AW24" s="1282"/>
      <c r="AX24" s="1281">
        <v>8.3299999999999999E-2</v>
      </c>
      <c r="AY24" s="1281"/>
      <c r="AZ24" s="1265"/>
      <c r="BA24" s="1265"/>
      <c r="BB24" s="1281">
        <v>8.3299999999999999E-2</v>
      </c>
      <c r="BC24" s="1283"/>
      <c r="BD24" s="263">
        <f t="shared" si="0"/>
        <v>0.24990000000000001</v>
      </c>
      <c r="BE24" s="149">
        <f t="shared" si="1"/>
        <v>0.99960000000000016</v>
      </c>
      <c r="BF24" s="131">
        <f t="shared" si="2"/>
        <v>0.24999999999999997</v>
      </c>
      <c r="BG24" s="132">
        <f t="shared" si="3"/>
        <v>7.4999999999999989E-3</v>
      </c>
      <c r="BH24" s="133">
        <f t="shared" si="4"/>
        <v>0.03</v>
      </c>
      <c r="BI24" s="257">
        <f t="shared" si="5"/>
        <v>7.4999999999999989E-3</v>
      </c>
    </row>
    <row r="25" spans="1:61" ht="35.25" customHeight="1" x14ac:dyDescent="0.2">
      <c r="F25" s="27"/>
      <c r="BG25" s="247">
        <f>SUM(BG5:BG24)</f>
        <v>0.19111494186046513</v>
      </c>
      <c r="BI25" s="259">
        <f>SUM(BI5:BI24)</f>
        <v>0.15177946779964221</v>
      </c>
    </row>
    <row r="26" spans="1:61" ht="25.5" x14ac:dyDescent="0.2">
      <c r="C26" s="866" t="s">
        <v>71</v>
      </c>
      <c r="D26" s="867" t="s">
        <v>73</v>
      </c>
      <c r="E26" s="867" t="s">
        <v>72</v>
      </c>
      <c r="F26" s="27"/>
    </row>
    <row r="27" spans="1:61" ht="25.5" x14ac:dyDescent="0.2">
      <c r="C27" s="25" t="str">
        <f>A5</f>
        <v xml:space="preserve">1. Realizar las actividades necesarias que garanticen la adecuada ejecución del plan anual de adquisiciones. </v>
      </c>
      <c r="D27" s="86">
        <f>B5</f>
        <v>0.2</v>
      </c>
      <c r="E27" s="26">
        <f>BG5+BG6+BG7</f>
        <v>0.11976744186046512</v>
      </c>
      <c r="F27" s="27"/>
    </row>
    <row r="28" spans="1:61" ht="25.5" x14ac:dyDescent="0.2">
      <c r="C28" s="25" t="str">
        <f>A8</f>
        <v>2. Administrar los bienes propiedad de la Unidad Administrativa Especial de Organizaciones Solidarias.</v>
      </c>
      <c r="D28" s="86">
        <f>B8</f>
        <v>0.1</v>
      </c>
      <c r="E28" s="26">
        <f>BG8+BG9+BG10</f>
        <v>4.6875000000000007E-3</v>
      </c>
      <c r="F28" s="27"/>
    </row>
    <row r="29" spans="1:61" ht="25.5" x14ac:dyDescent="0.2">
      <c r="C29" s="25" t="str">
        <f>A11</f>
        <v>3. Adoptar el Sistema de Gestión Ambiental en la U.A.E.O.S.</v>
      </c>
      <c r="D29" s="86">
        <f>B11</f>
        <v>0.1</v>
      </c>
      <c r="E29" s="26">
        <f>BG11+BG12+BG13</f>
        <v>1.2499999999999999E-2</v>
      </c>
      <c r="F29" s="27"/>
    </row>
    <row r="30" spans="1:61" ht="38.25" customHeight="1" x14ac:dyDescent="0.2">
      <c r="C30" s="25" t="str">
        <f>A14</f>
        <v>4. Contar con la infraestructura necesaria y adecuada para el funcionamiento de la Unidad Administrativa Especial de Organizaciones Solidarias.</v>
      </c>
      <c r="D30" s="86">
        <f>B14</f>
        <v>0.2</v>
      </c>
      <c r="E30" s="26">
        <f>BG14+BG15+BG16+BG17</f>
        <v>0</v>
      </c>
      <c r="F30" s="27"/>
    </row>
    <row r="31" spans="1:61" ht="48.75" customHeight="1" x14ac:dyDescent="0.2">
      <c r="C31" s="25" t="str">
        <f>A18</f>
        <v xml:space="preserve">5. Garantizar una adecuada administración del sistema de  gestión documental de la entidad, de tal forma que la información institucional sea recuperable para su uso en el servicio al ciudadano y como fuente de la Historia. </v>
      </c>
      <c r="D31" s="86">
        <f>B18</f>
        <v>0.3</v>
      </c>
      <c r="E31" s="26">
        <f>BG18+BG19+BG20+BG21+BG22</f>
        <v>2.9160000000000002E-2</v>
      </c>
      <c r="F31" s="27"/>
    </row>
    <row r="32" spans="1:61" ht="38.25" x14ac:dyDescent="0.2">
      <c r="C32" s="25" t="str">
        <f>A23</f>
        <v>6.Optimizar el funcionamiento de la plataforma técnologica  para la administración del sistema de gestión documental de la entidad.</v>
      </c>
      <c r="D32" s="86">
        <f>B23</f>
        <v>0.1</v>
      </c>
      <c r="E32" s="26">
        <f>BG23+BG24</f>
        <v>2.4999999999999998E-2</v>
      </c>
      <c r="F32" s="27"/>
    </row>
    <row r="33" spans="3:6" x14ac:dyDescent="0.2">
      <c r="C33" s="868" t="s">
        <v>66</v>
      </c>
      <c r="D33" s="869">
        <f>SUM(D27:D32)</f>
        <v>1.0000000000000002</v>
      </c>
      <c r="E33" s="869">
        <f>SUM(E27:E32)</f>
        <v>0.1911149418604651</v>
      </c>
      <c r="F33" s="27"/>
    </row>
    <row r="34" spans="3:6" x14ac:dyDescent="0.2">
      <c r="F34" s="27"/>
    </row>
    <row r="35" spans="3:6" x14ac:dyDescent="0.2">
      <c r="F35" s="27"/>
    </row>
    <row r="40" spans="3:6" ht="25.5" x14ac:dyDescent="0.2">
      <c r="C40" s="866" t="s">
        <v>71</v>
      </c>
      <c r="D40" s="867" t="s">
        <v>73</v>
      </c>
      <c r="E40" s="867" t="s">
        <v>72</v>
      </c>
    </row>
    <row r="41" spans="3:6" ht="25.5" x14ac:dyDescent="0.2">
      <c r="C41" s="25" t="str">
        <f>C27</f>
        <v xml:space="preserve">1. Realizar las actividades necesarias que garanticen la adecuada ejecución del plan anual de adquisiciones. </v>
      </c>
      <c r="D41" s="269">
        <f>BI5+BI6+BI7+BI8</f>
        <v>7.3255813953488375E-2</v>
      </c>
      <c r="E41" s="269">
        <f t="shared" ref="E41" si="6">E27</f>
        <v>0.11976744186046512</v>
      </c>
    </row>
    <row r="42" spans="3:6" ht="25.5" x14ac:dyDescent="0.2">
      <c r="C42" s="25" t="str">
        <f t="shared" ref="C42:E42" si="7">C28</f>
        <v>2. Administrar los bienes propiedad de la Unidad Administrativa Especial de Organizaciones Solidarias.</v>
      </c>
      <c r="D42" s="269">
        <f>BI8+BI9+BI10</f>
        <v>4.6875000000000007E-3</v>
      </c>
      <c r="E42" s="269">
        <f t="shared" si="7"/>
        <v>4.6875000000000007E-3</v>
      </c>
    </row>
    <row r="43" spans="3:6" ht="25.5" x14ac:dyDescent="0.2">
      <c r="C43" s="25" t="str">
        <f t="shared" ref="C43:E43" si="8">C29</f>
        <v>3. Adoptar el Sistema de Gestión Ambiental en la U.A.E.O.S.</v>
      </c>
      <c r="D43" s="269">
        <f>BI11+BI12+BI13</f>
        <v>1.2499999999999999E-2</v>
      </c>
      <c r="E43" s="269">
        <f t="shared" si="8"/>
        <v>1.2499999999999999E-2</v>
      </c>
    </row>
    <row r="44" spans="3:6" ht="38.25" x14ac:dyDescent="0.2">
      <c r="C44" s="25" t="str">
        <f t="shared" ref="C44:E44" si="9">C30</f>
        <v>4. Contar con la infraestructura necesaria y adecuada para el funcionamiento de la Unidad Administrativa Especial de Organizaciones Solidarias.</v>
      </c>
      <c r="D44" s="269">
        <f>BI14+BI15+BI16+BI17</f>
        <v>0</v>
      </c>
      <c r="E44" s="269">
        <f t="shared" si="9"/>
        <v>0</v>
      </c>
    </row>
    <row r="45" spans="3:6" ht="51" x14ac:dyDescent="0.2">
      <c r="C45" s="25" t="str">
        <f t="shared" ref="C45:E45" si="10">C31</f>
        <v xml:space="preserve">5. Garantizar una adecuada administración del sistema de  gestión documental de la entidad, de tal forma que la información institucional sea recuperable para su uso en el servicio al ciudadano y como fuente de la Historia. </v>
      </c>
      <c r="D45" s="269">
        <f>BI18+BI19+BI20+BI21+BI22</f>
        <v>3.6336153846153851E-2</v>
      </c>
      <c r="E45" s="269">
        <f t="shared" si="10"/>
        <v>2.9160000000000002E-2</v>
      </c>
    </row>
    <row r="46" spans="3:6" ht="38.25" x14ac:dyDescent="0.2">
      <c r="C46" s="25" t="str">
        <f t="shared" ref="C46:E46" si="11">C32</f>
        <v>6.Optimizar el funcionamiento de la plataforma técnologica  para la administración del sistema de gestión documental de la entidad.</v>
      </c>
      <c r="D46" s="269">
        <f>BI23+BI24</f>
        <v>2.4999999999999998E-2</v>
      </c>
      <c r="E46" s="269">
        <f t="shared" si="11"/>
        <v>2.4999999999999998E-2</v>
      </c>
    </row>
    <row r="47" spans="3:6" x14ac:dyDescent="0.2">
      <c r="C47" s="868" t="s">
        <v>66</v>
      </c>
      <c r="D47" s="869">
        <f>SUM(D41:D46)</f>
        <v>0.15177946779964221</v>
      </c>
      <c r="E47" s="869">
        <f>SUM(E41:E46)</f>
        <v>0.1911149418604651</v>
      </c>
    </row>
  </sheetData>
  <mergeCells count="542">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AZ4:BA4"/>
    <mergeCell ref="BB4:BC4"/>
    <mergeCell ref="AF4:AG4"/>
    <mergeCell ref="AH4:AI4"/>
    <mergeCell ref="AJ4:AK4"/>
    <mergeCell ref="AL4:AM4"/>
    <mergeCell ref="AN4:AO4"/>
    <mergeCell ref="AP4:AQ4"/>
    <mergeCell ref="T4:U4"/>
    <mergeCell ref="V4:W4"/>
    <mergeCell ref="X4:Y4"/>
    <mergeCell ref="Z4:AA4"/>
    <mergeCell ref="AB4:AC4"/>
    <mergeCell ref="AD4:AE4"/>
    <mergeCell ref="A5:A7"/>
    <mergeCell ref="B5:B7"/>
    <mergeCell ref="AD7:AE7"/>
    <mergeCell ref="AF7:AG7"/>
    <mergeCell ref="AH7:AI7"/>
    <mergeCell ref="AJ7:AK7"/>
    <mergeCell ref="AL7:AM7"/>
    <mergeCell ref="AN7:AO7"/>
    <mergeCell ref="AP7:AQ7"/>
    <mergeCell ref="AP6:AQ6"/>
    <mergeCell ref="AL6:AM6"/>
    <mergeCell ref="AN6:AO6"/>
    <mergeCell ref="T7:U7"/>
    <mergeCell ref="V7:W7"/>
    <mergeCell ref="X7:Y7"/>
    <mergeCell ref="Z7:AA7"/>
    <mergeCell ref="A8:A10"/>
    <mergeCell ref="B8:B10"/>
    <mergeCell ref="A11:A13"/>
    <mergeCell ref="AR4:AS4"/>
    <mergeCell ref="AT4:AU4"/>
    <mergeCell ref="AV4:AW4"/>
    <mergeCell ref="AX4:AY4"/>
    <mergeCell ref="G3:G4"/>
    <mergeCell ref="C3:C4"/>
    <mergeCell ref="D3:D4"/>
    <mergeCell ref="E3:E4"/>
    <mergeCell ref="F3:F4"/>
    <mergeCell ref="A3:A4"/>
    <mergeCell ref="B3:B4"/>
    <mergeCell ref="T5:U5"/>
    <mergeCell ref="V5:W5"/>
    <mergeCell ref="X5:Y5"/>
    <mergeCell ref="Z5:AA5"/>
    <mergeCell ref="C5:C6"/>
    <mergeCell ref="G5:G6"/>
    <mergeCell ref="H5:I5"/>
    <mergeCell ref="J5:K5"/>
    <mergeCell ref="L5:M5"/>
    <mergeCell ref="N5:O5"/>
    <mergeCell ref="BB5:BC5"/>
    <mergeCell ref="H6:I6"/>
    <mergeCell ref="J6:K6"/>
    <mergeCell ref="L6:M6"/>
    <mergeCell ref="N6:O6"/>
    <mergeCell ref="P6:Q6"/>
    <mergeCell ref="R6:S6"/>
    <mergeCell ref="T6:U6"/>
    <mergeCell ref="V6:W6"/>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AJ6:AK6"/>
    <mergeCell ref="AZ5:BA5"/>
    <mergeCell ref="X6:Y6"/>
    <mergeCell ref="Z6:AA6"/>
    <mergeCell ref="AB6:AC6"/>
    <mergeCell ref="AD6:AE6"/>
    <mergeCell ref="AF6:AG6"/>
    <mergeCell ref="AH6:AI6"/>
    <mergeCell ref="H7:I7"/>
    <mergeCell ref="J7:K7"/>
    <mergeCell ref="L7:M7"/>
    <mergeCell ref="N7:O7"/>
    <mergeCell ref="P7:Q7"/>
    <mergeCell ref="R7:S7"/>
    <mergeCell ref="AV6:AW6"/>
    <mergeCell ref="AX6:AY6"/>
    <mergeCell ref="AZ6:BA6"/>
    <mergeCell ref="AR7:AS7"/>
    <mergeCell ref="AT7:AU7"/>
    <mergeCell ref="AV7:AW7"/>
    <mergeCell ref="AX7:AY7"/>
    <mergeCell ref="AZ7:BA7"/>
    <mergeCell ref="BB7:BC7"/>
    <mergeCell ref="BB6:BC6"/>
    <mergeCell ref="AR6:AS6"/>
    <mergeCell ref="AT6:AU6"/>
    <mergeCell ref="T8:U8"/>
    <mergeCell ref="V8:W8"/>
    <mergeCell ref="X8:Y8"/>
    <mergeCell ref="Z8:AA8"/>
    <mergeCell ref="AB8:AC8"/>
    <mergeCell ref="AD8:AE8"/>
    <mergeCell ref="AX8:AY8"/>
    <mergeCell ref="AZ8:BA8"/>
    <mergeCell ref="BB8:BC8"/>
    <mergeCell ref="AB7:AC7"/>
    <mergeCell ref="H8:I8"/>
    <mergeCell ref="J8:K8"/>
    <mergeCell ref="L8:M8"/>
    <mergeCell ref="N8:O8"/>
    <mergeCell ref="P8:Q8"/>
    <mergeCell ref="R8:S8"/>
    <mergeCell ref="AR8:AS8"/>
    <mergeCell ref="AT8:AU8"/>
    <mergeCell ref="AV8:AW8"/>
    <mergeCell ref="AF8:AG8"/>
    <mergeCell ref="AH8:AI8"/>
    <mergeCell ref="AJ8:AK8"/>
    <mergeCell ref="AL8:AM8"/>
    <mergeCell ref="AN8:AO8"/>
    <mergeCell ref="AP8:AQ8"/>
    <mergeCell ref="T9:U9"/>
    <mergeCell ref="V9:W9"/>
    <mergeCell ref="X9:Y9"/>
    <mergeCell ref="Z9:AA9"/>
    <mergeCell ref="AB9:AC9"/>
    <mergeCell ref="AD9:AE9"/>
    <mergeCell ref="H9:I9"/>
    <mergeCell ref="J9:K9"/>
    <mergeCell ref="L9:M9"/>
    <mergeCell ref="N9:O9"/>
    <mergeCell ref="P9:Q9"/>
    <mergeCell ref="R9:S9"/>
    <mergeCell ref="AR9:AS9"/>
    <mergeCell ref="AT9:AU9"/>
    <mergeCell ref="AV9:AW9"/>
    <mergeCell ref="AX9:AY9"/>
    <mergeCell ref="AZ9:BA9"/>
    <mergeCell ref="BB9:BC9"/>
    <mergeCell ref="AF9:AG9"/>
    <mergeCell ref="AH9:AI9"/>
    <mergeCell ref="AJ9:AK9"/>
    <mergeCell ref="AL9:AM9"/>
    <mergeCell ref="AN9:AO9"/>
    <mergeCell ref="AP9:AQ9"/>
    <mergeCell ref="T10:U10"/>
    <mergeCell ref="V10:W10"/>
    <mergeCell ref="X10:Y10"/>
    <mergeCell ref="Z10:AA10"/>
    <mergeCell ref="AB10:AC10"/>
    <mergeCell ref="AD10:AE10"/>
    <mergeCell ref="H10:I10"/>
    <mergeCell ref="J10:K10"/>
    <mergeCell ref="L10:M10"/>
    <mergeCell ref="N10:O10"/>
    <mergeCell ref="P10:Q10"/>
    <mergeCell ref="R10:S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1:U11"/>
    <mergeCell ref="V11:W11"/>
    <mergeCell ref="X11:Y11"/>
    <mergeCell ref="Z11:AA11"/>
    <mergeCell ref="B11:B13"/>
    <mergeCell ref="H11:I11"/>
    <mergeCell ref="J11:K11"/>
    <mergeCell ref="L11:M11"/>
    <mergeCell ref="N11:O11"/>
    <mergeCell ref="H13:I13"/>
    <mergeCell ref="J13:K13"/>
    <mergeCell ref="L13:M13"/>
    <mergeCell ref="N13:O13"/>
    <mergeCell ref="P13:Q13"/>
    <mergeCell ref="R13:S13"/>
    <mergeCell ref="T13:U13"/>
    <mergeCell ref="V13:W13"/>
    <mergeCell ref="X13:Y13"/>
    <mergeCell ref="Z13:AA13"/>
    <mergeCell ref="AZ11:BA11"/>
    <mergeCell ref="BB11:BC11"/>
    <mergeCell ref="H12:I12"/>
    <mergeCell ref="J12:K12"/>
    <mergeCell ref="L12:M12"/>
    <mergeCell ref="N12:O12"/>
    <mergeCell ref="P12:Q12"/>
    <mergeCell ref="R12:S12"/>
    <mergeCell ref="T12:U12"/>
    <mergeCell ref="V12:W12"/>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AZ13:BA13"/>
    <mergeCell ref="AP12:AQ12"/>
    <mergeCell ref="AR12:AS12"/>
    <mergeCell ref="AT12:AU12"/>
    <mergeCell ref="X12:Y12"/>
    <mergeCell ref="Z12:AA12"/>
    <mergeCell ref="AB12:AC12"/>
    <mergeCell ref="AD12:AE12"/>
    <mergeCell ref="AF12:AG12"/>
    <mergeCell ref="AH12:AI12"/>
    <mergeCell ref="AJ12:AK12"/>
    <mergeCell ref="AL12:AM12"/>
    <mergeCell ref="AN12:AO12"/>
    <mergeCell ref="BB12:BC12"/>
    <mergeCell ref="BB13:BC13"/>
    <mergeCell ref="AF13:AG13"/>
    <mergeCell ref="AH13:AI13"/>
    <mergeCell ref="AJ13:AK13"/>
    <mergeCell ref="AL13:AM13"/>
    <mergeCell ref="AN13:AO13"/>
    <mergeCell ref="AP13:AQ13"/>
    <mergeCell ref="R14:S14"/>
    <mergeCell ref="T14:U14"/>
    <mergeCell ref="V14:W14"/>
    <mergeCell ref="X14:Y14"/>
    <mergeCell ref="AF14:AG14"/>
    <mergeCell ref="AH14:AI14"/>
    <mergeCell ref="AJ14:AK14"/>
    <mergeCell ref="AD13:AE13"/>
    <mergeCell ref="AB13:AC13"/>
    <mergeCell ref="AV12:AW12"/>
    <mergeCell ref="AX12:AY12"/>
    <mergeCell ref="AZ12:BA12"/>
    <mergeCell ref="AR13:AS13"/>
    <mergeCell ref="AT13:AU13"/>
    <mergeCell ref="AV13:AW13"/>
    <mergeCell ref="AX13:AY13"/>
    <mergeCell ref="A14:A17"/>
    <mergeCell ref="B14:B17"/>
    <mergeCell ref="H14:I14"/>
    <mergeCell ref="J14:K14"/>
    <mergeCell ref="L14:M14"/>
    <mergeCell ref="AX14:AY14"/>
    <mergeCell ref="AZ14:BA14"/>
    <mergeCell ref="BB14:BC14"/>
    <mergeCell ref="H15:I15"/>
    <mergeCell ref="J15:K15"/>
    <mergeCell ref="L15:M15"/>
    <mergeCell ref="N15:O15"/>
    <mergeCell ref="P15:Q15"/>
    <mergeCell ref="R15:S15"/>
    <mergeCell ref="T15:U15"/>
    <mergeCell ref="AL14:AM14"/>
    <mergeCell ref="AN14:AO14"/>
    <mergeCell ref="AP14:AQ14"/>
    <mergeCell ref="AR14:AS14"/>
    <mergeCell ref="AT14:AU14"/>
    <mergeCell ref="AV14:AW14"/>
    <mergeCell ref="Z14:AA14"/>
    <mergeCell ref="AB14:AC14"/>
    <mergeCell ref="AD14:AE14"/>
    <mergeCell ref="AH16:AI16"/>
    <mergeCell ref="AJ16:AK16"/>
    <mergeCell ref="AL16:AM16"/>
    <mergeCell ref="AN16:AO16"/>
    <mergeCell ref="N14:O14"/>
    <mergeCell ref="P14:Q14"/>
    <mergeCell ref="H16:I16"/>
    <mergeCell ref="J16:K16"/>
    <mergeCell ref="L16:M16"/>
    <mergeCell ref="N16:O16"/>
    <mergeCell ref="P16:Q16"/>
    <mergeCell ref="AH15:AI15"/>
    <mergeCell ref="AJ15:AK15"/>
    <mergeCell ref="R16:S16"/>
    <mergeCell ref="T16:U16"/>
    <mergeCell ref="AD16:AE16"/>
    <mergeCell ref="V15:W15"/>
    <mergeCell ref="X15:Y15"/>
    <mergeCell ref="Z15:AA15"/>
    <mergeCell ref="AB15:AC15"/>
    <mergeCell ref="AD15:AE15"/>
    <mergeCell ref="AF15:AG15"/>
    <mergeCell ref="V16:W16"/>
    <mergeCell ref="X16:Y16"/>
    <mergeCell ref="Z16:AA16"/>
    <mergeCell ref="AB16:AC16"/>
    <mergeCell ref="AF16:AG16"/>
    <mergeCell ref="H17:I17"/>
    <mergeCell ref="J17:K17"/>
    <mergeCell ref="L17:M17"/>
    <mergeCell ref="N17:O17"/>
    <mergeCell ref="P17:Q17"/>
    <mergeCell ref="R17:S17"/>
    <mergeCell ref="T17:U17"/>
    <mergeCell ref="V17:W17"/>
    <mergeCell ref="X17:Y17"/>
    <mergeCell ref="AJ17:AK17"/>
    <mergeCell ref="AZ18:BA18"/>
    <mergeCell ref="AT15:AU15"/>
    <mergeCell ref="AV15:AW15"/>
    <mergeCell ref="AX15:AY15"/>
    <mergeCell ref="AZ15:BA15"/>
    <mergeCell ref="BB15:BC15"/>
    <mergeCell ref="AP15:AQ15"/>
    <mergeCell ref="AR15:AS15"/>
    <mergeCell ref="BB16:BC16"/>
    <mergeCell ref="AP16:AQ16"/>
    <mergeCell ref="AR16:AS16"/>
    <mergeCell ref="AT16:AU16"/>
    <mergeCell ref="AV16:AW16"/>
    <mergeCell ref="AX16:AY16"/>
    <mergeCell ref="AZ16:BA16"/>
    <mergeCell ref="AL15:AM15"/>
    <mergeCell ref="AN15:AO15"/>
    <mergeCell ref="R18:S18"/>
    <mergeCell ref="AT19:AU19"/>
    <mergeCell ref="T18:U18"/>
    <mergeCell ref="V18:W18"/>
    <mergeCell ref="X18:Y18"/>
    <mergeCell ref="AX17:AY17"/>
    <mergeCell ref="AZ17:BA17"/>
    <mergeCell ref="BB17:BC17"/>
    <mergeCell ref="A18:A22"/>
    <mergeCell ref="B18:B22"/>
    <mergeCell ref="H18:I18"/>
    <mergeCell ref="J18:K18"/>
    <mergeCell ref="L18:M18"/>
    <mergeCell ref="AL17:AM17"/>
    <mergeCell ref="AN17:AO17"/>
    <mergeCell ref="AP17:AQ17"/>
    <mergeCell ref="AR17:AS17"/>
    <mergeCell ref="AT17:AU17"/>
    <mergeCell ref="AV17:AW17"/>
    <mergeCell ref="Z17:AA17"/>
    <mergeCell ref="AB17:AC17"/>
    <mergeCell ref="AD17:AE17"/>
    <mergeCell ref="AF17:AG17"/>
    <mergeCell ref="AH17:AI17"/>
    <mergeCell ref="Z20:AA20"/>
    <mergeCell ref="AB20:AC20"/>
    <mergeCell ref="BB18:BC18"/>
    <mergeCell ref="H19:I19"/>
    <mergeCell ref="J19:K19"/>
    <mergeCell ref="L19:M19"/>
    <mergeCell ref="N19:O19"/>
    <mergeCell ref="P19:Q19"/>
    <mergeCell ref="R19:S19"/>
    <mergeCell ref="T19:U19"/>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AH19:AI19"/>
    <mergeCell ref="AJ19:AK19"/>
    <mergeCell ref="AL19:AM19"/>
    <mergeCell ref="AN19:AO19"/>
    <mergeCell ref="V19:W19"/>
    <mergeCell ref="X19:Y19"/>
    <mergeCell ref="Z19:AA19"/>
    <mergeCell ref="AB19:AC19"/>
    <mergeCell ref="AD19:AE19"/>
    <mergeCell ref="AF19:AG19"/>
    <mergeCell ref="AV19:AW19"/>
    <mergeCell ref="AX19:AY19"/>
    <mergeCell ref="AP19:AQ19"/>
    <mergeCell ref="AR19:AS19"/>
    <mergeCell ref="AP20:AQ20"/>
    <mergeCell ref="AR20:AS20"/>
    <mergeCell ref="AT20:AU20"/>
    <mergeCell ref="AV20:AW20"/>
    <mergeCell ref="AX20:AY20"/>
    <mergeCell ref="AD20:AE20"/>
    <mergeCell ref="AF20:AG20"/>
    <mergeCell ref="AH20:AI20"/>
    <mergeCell ref="AJ20:AK20"/>
    <mergeCell ref="AL20:AM20"/>
    <mergeCell ref="AN20:AO20"/>
    <mergeCell ref="H21:I21"/>
    <mergeCell ref="J21:K21"/>
    <mergeCell ref="L21:M21"/>
    <mergeCell ref="N21:O21"/>
    <mergeCell ref="P21:Q21"/>
    <mergeCell ref="R21:S21"/>
    <mergeCell ref="T21:U21"/>
    <mergeCell ref="V21:W21"/>
    <mergeCell ref="X21:Y21"/>
    <mergeCell ref="H20:I20"/>
    <mergeCell ref="J20:K20"/>
    <mergeCell ref="L20:M20"/>
    <mergeCell ref="N20:O20"/>
    <mergeCell ref="P20:Q20"/>
    <mergeCell ref="R20:S20"/>
    <mergeCell ref="T20:U20"/>
    <mergeCell ref="V20:W20"/>
    <mergeCell ref="X20:Y20"/>
    <mergeCell ref="AP21:AQ21"/>
    <mergeCell ref="AR21:AS21"/>
    <mergeCell ref="AT21:AU21"/>
    <mergeCell ref="AV21:AW21"/>
    <mergeCell ref="Z21:AA21"/>
    <mergeCell ref="AB21:AC21"/>
    <mergeCell ref="AD21:AE21"/>
    <mergeCell ref="AF21:AG21"/>
    <mergeCell ref="AH21:AI21"/>
    <mergeCell ref="AJ21:AK21"/>
    <mergeCell ref="A23:A24"/>
    <mergeCell ref="B23:B24"/>
    <mergeCell ref="H23:I23"/>
    <mergeCell ref="J23:K23"/>
    <mergeCell ref="L23:M23"/>
    <mergeCell ref="AH22:AI22"/>
    <mergeCell ref="AJ22:AK22"/>
    <mergeCell ref="AL22:AM22"/>
    <mergeCell ref="AN22:AO22"/>
    <mergeCell ref="H22:I22"/>
    <mergeCell ref="J22:K22"/>
    <mergeCell ref="L22:M22"/>
    <mergeCell ref="N22:O22"/>
    <mergeCell ref="P22:Q22"/>
    <mergeCell ref="R22:S22"/>
    <mergeCell ref="T22:U22"/>
    <mergeCell ref="H24:I24"/>
    <mergeCell ref="J24:K24"/>
    <mergeCell ref="L24:M24"/>
    <mergeCell ref="N24:O24"/>
    <mergeCell ref="P24:Q24"/>
    <mergeCell ref="R24:S24"/>
    <mergeCell ref="T24:U24"/>
    <mergeCell ref="N23:O23"/>
    <mergeCell ref="P23:Q23"/>
    <mergeCell ref="R23:S23"/>
    <mergeCell ref="T23:U23"/>
    <mergeCell ref="V23:W23"/>
    <mergeCell ref="X23:Y23"/>
    <mergeCell ref="AH24:AI24"/>
    <mergeCell ref="AJ24:AK24"/>
    <mergeCell ref="AL24:AM24"/>
    <mergeCell ref="AN24:AO24"/>
    <mergeCell ref="Z23:AA23"/>
    <mergeCell ref="AB23:AC23"/>
    <mergeCell ref="AD23:AE23"/>
    <mergeCell ref="AF23:AG23"/>
    <mergeCell ref="AH23:AI23"/>
    <mergeCell ref="AJ23:AK23"/>
    <mergeCell ref="AL23:AM23"/>
    <mergeCell ref="AN23:AO23"/>
    <mergeCell ref="AP24:AQ24"/>
    <mergeCell ref="AR24:AS24"/>
    <mergeCell ref="V24:W24"/>
    <mergeCell ref="X24:Y24"/>
    <mergeCell ref="Z24:AA24"/>
    <mergeCell ref="AB24:AC24"/>
    <mergeCell ref="AD24:AE24"/>
    <mergeCell ref="AF24:AG24"/>
    <mergeCell ref="BF3:BF4"/>
    <mergeCell ref="AP23:AQ23"/>
    <mergeCell ref="AR23:AS23"/>
    <mergeCell ref="AT23:AU23"/>
    <mergeCell ref="AV23:AW23"/>
    <mergeCell ref="AP22:AQ22"/>
    <mergeCell ref="AR22:AS22"/>
    <mergeCell ref="V22:W22"/>
    <mergeCell ref="X22:Y22"/>
    <mergeCell ref="Z22:AA22"/>
    <mergeCell ref="AB22:AC22"/>
    <mergeCell ref="AD22:AE22"/>
    <mergeCell ref="AF22:AG22"/>
    <mergeCell ref="AX21:AY21"/>
    <mergeCell ref="AL21:AM21"/>
    <mergeCell ref="AN21:AO21"/>
    <mergeCell ref="BG3:BG4"/>
    <mergeCell ref="BH3:BH4"/>
    <mergeCell ref="BD3:BD4"/>
    <mergeCell ref="BE3:BE4"/>
    <mergeCell ref="AT24:AU24"/>
    <mergeCell ref="AV24:AW24"/>
    <mergeCell ref="AX24:AY24"/>
    <mergeCell ref="AZ24:BA24"/>
    <mergeCell ref="BB24:BC24"/>
    <mergeCell ref="AX23:AY23"/>
    <mergeCell ref="AZ23:BA23"/>
    <mergeCell ref="BB23:BC23"/>
    <mergeCell ref="AT22:AU22"/>
    <mergeCell ref="AV22:AW22"/>
    <mergeCell ref="AX22:AY22"/>
    <mergeCell ref="AZ22:BA22"/>
    <mergeCell ref="BB22:BC22"/>
    <mergeCell ref="AZ21:BA21"/>
    <mergeCell ref="BB21:BC21"/>
    <mergeCell ref="BB20:BC20"/>
    <mergeCell ref="AZ19:BA19"/>
    <mergeCell ref="BB19:BC19"/>
    <mergeCell ref="AX18:AY18"/>
    <mergeCell ref="AZ20:BA20"/>
  </mergeCells>
  <conditionalFormatting sqref="BF5:BF24">
    <cfRule type="cellIs" dxfId="149" priority="1" operator="between">
      <formula>"0.5"</formula>
      <formula>1</formula>
    </cfRule>
  </conditionalFormatting>
  <printOptions horizontalCentered="1" verticalCentered="1"/>
  <pageMargins left="0.23622047244094491" right="0.23622047244094491" top="0.55118110236220474" bottom="0.74803149606299213" header="0.31496062992125984" footer="0.31496062992125984"/>
  <pageSetup paperSize="41" scale="45" orientation="landscape" r:id="rId1"/>
  <headerFooter alignWithMargins="0">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J47"/>
  <sheetViews>
    <sheetView topLeftCell="B13" zoomScale="60" zoomScaleNormal="60" zoomScaleSheetLayoutView="100" workbookViewId="0">
      <selection activeCell="BH28" sqref="BH28"/>
    </sheetView>
  </sheetViews>
  <sheetFormatPr baseColWidth="10" defaultRowHeight="12.75" x14ac:dyDescent="0.2"/>
  <cols>
    <col min="1" max="1" width="34" style="27" customWidth="1"/>
    <col min="2" max="2" width="23" style="2" customWidth="1"/>
    <col min="3" max="3" width="49.42578125" style="27" customWidth="1"/>
    <col min="4" max="4" width="32.85546875" style="27" customWidth="1"/>
    <col min="5" max="5" width="32.28515625" style="27" customWidth="1"/>
    <col min="6" max="6" width="26.85546875" style="27" customWidth="1"/>
    <col min="7" max="7" width="13.85546875" style="27" customWidth="1"/>
    <col min="8" max="10" width="3.5703125" style="27" customWidth="1"/>
    <col min="11" max="11" width="3.42578125" style="27" customWidth="1"/>
    <col min="12" max="55" width="3.5703125" style="27" customWidth="1"/>
    <col min="56" max="60" width="11.42578125" style="27" customWidth="1"/>
    <col min="61" max="16384" width="11.42578125" style="27"/>
  </cols>
  <sheetData>
    <row r="1" spans="1:62" ht="15" x14ac:dyDescent="0.2">
      <c r="H1" s="28"/>
    </row>
    <row r="2" spans="1:62" ht="15.75" thickBot="1" x14ac:dyDescent="0.25">
      <c r="H2" s="28"/>
    </row>
    <row r="3" spans="1:62" ht="48" customHeight="1" x14ac:dyDescent="0.2">
      <c r="A3" s="1363" t="s">
        <v>99</v>
      </c>
      <c r="B3" s="1366" t="s">
        <v>100</v>
      </c>
      <c r="C3" s="1363" t="s">
        <v>432</v>
      </c>
      <c r="D3" s="1363" t="s">
        <v>102</v>
      </c>
      <c r="E3" s="1363" t="s">
        <v>103</v>
      </c>
      <c r="F3" s="1363" t="s">
        <v>104</v>
      </c>
      <c r="G3" s="1361" t="s">
        <v>6</v>
      </c>
      <c r="H3" s="979" t="s">
        <v>7</v>
      </c>
      <c r="I3" s="979"/>
      <c r="J3" s="979"/>
      <c r="K3" s="979"/>
      <c r="L3" s="979" t="s">
        <v>8</v>
      </c>
      <c r="M3" s="979"/>
      <c r="N3" s="979"/>
      <c r="O3" s="979"/>
      <c r="P3" s="979" t="s">
        <v>9</v>
      </c>
      <c r="Q3" s="979"/>
      <c r="R3" s="979"/>
      <c r="S3" s="979"/>
      <c r="T3" s="979" t="s">
        <v>10</v>
      </c>
      <c r="U3" s="979"/>
      <c r="V3" s="979"/>
      <c r="W3" s="979"/>
      <c r="X3" s="979" t="s">
        <v>11</v>
      </c>
      <c r="Y3" s="979"/>
      <c r="Z3" s="979"/>
      <c r="AA3" s="979"/>
      <c r="AB3" s="979" t="s">
        <v>12</v>
      </c>
      <c r="AC3" s="979"/>
      <c r="AD3" s="979"/>
      <c r="AE3" s="979"/>
      <c r="AF3" s="979" t="s">
        <v>13</v>
      </c>
      <c r="AG3" s="979"/>
      <c r="AH3" s="979"/>
      <c r="AI3" s="979"/>
      <c r="AJ3" s="979" t="s">
        <v>14</v>
      </c>
      <c r="AK3" s="979"/>
      <c r="AL3" s="979"/>
      <c r="AM3" s="979"/>
      <c r="AN3" s="979" t="s">
        <v>15</v>
      </c>
      <c r="AO3" s="979"/>
      <c r="AP3" s="979"/>
      <c r="AQ3" s="979"/>
      <c r="AR3" s="979" t="s">
        <v>16</v>
      </c>
      <c r="AS3" s="979"/>
      <c r="AT3" s="979"/>
      <c r="AU3" s="979"/>
      <c r="AV3" s="979" t="s">
        <v>17</v>
      </c>
      <c r="AW3" s="979"/>
      <c r="AX3" s="979"/>
      <c r="AY3" s="979"/>
      <c r="AZ3" s="979" t="s">
        <v>18</v>
      </c>
      <c r="BA3" s="979"/>
      <c r="BB3" s="979"/>
      <c r="BC3" s="1376"/>
      <c r="BD3" s="1071" t="s">
        <v>66</v>
      </c>
      <c r="BE3" s="1073" t="s">
        <v>67</v>
      </c>
      <c r="BF3" s="1139" t="s">
        <v>68</v>
      </c>
      <c r="BG3" s="1141" t="s">
        <v>69</v>
      </c>
      <c r="BH3" s="1079" t="s">
        <v>241</v>
      </c>
    </row>
    <row r="4" spans="1:62" ht="96" customHeight="1" thickBot="1" x14ac:dyDescent="0.25">
      <c r="A4" s="1364"/>
      <c r="B4" s="1367"/>
      <c r="C4" s="1364"/>
      <c r="D4" s="1364"/>
      <c r="E4" s="1364"/>
      <c r="F4" s="1365"/>
      <c r="G4" s="1362"/>
      <c r="H4" s="1370" t="s">
        <v>19</v>
      </c>
      <c r="I4" s="1370"/>
      <c r="J4" s="1370" t="s">
        <v>20</v>
      </c>
      <c r="K4" s="1370"/>
      <c r="L4" s="1370" t="s">
        <v>19</v>
      </c>
      <c r="M4" s="1370"/>
      <c r="N4" s="1370" t="s">
        <v>20</v>
      </c>
      <c r="O4" s="1370"/>
      <c r="P4" s="1370" t="s">
        <v>19</v>
      </c>
      <c r="Q4" s="1370"/>
      <c r="R4" s="1370" t="s">
        <v>20</v>
      </c>
      <c r="S4" s="1370"/>
      <c r="T4" s="1370" t="s">
        <v>19</v>
      </c>
      <c r="U4" s="1370"/>
      <c r="V4" s="1370" t="s">
        <v>20</v>
      </c>
      <c r="W4" s="1370"/>
      <c r="X4" s="1370" t="s">
        <v>19</v>
      </c>
      <c r="Y4" s="1370"/>
      <c r="Z4" s="1370" t="s">
        <v>20</v>
      </c>
      <c r="AA4" s="1370"/>
      <c r="AB4" s="1370" t="s">
        <v>19</v>
      </c>
      <c r="AC4" s="1370"/>
      <c r="AD4" s="1370" t="s">
        <v>20</v>
      </c>
      <c r="AE4" s="1370"/>
      <c r="AF4" s="1370" t="s">
        <v>19</v>
      </c>
      <c r="AG4" s="1370"/>
      <c r="AH4" s="1370" t="s">
        <v>20</v>
      </c>
      <c r="AI4" s="1370"/>
      <c r="AJ4" s="1370" t="s">
        <v>19</v>
      </c>
      <c r="AK4" s="1370"/>
      <c r="AL4" s="1370" t="s">
        <v>20</v>
      </c>
      <c r="AM4" s="1370"/>
      <c r="AN4" s="1370" t="s">
        <v>19</v>
      </c>
      <c r="AO4" s="1370"/>
      <c r="AP4" s="1370" t="s">
        <v>20</v>
      </c>
      <c r="AQ4" s="1370"/>
      <c r="AR4" s="980" t="s">
        <v>19</v>
      </c>
      <c r="AS4" s="980"/>
      <c r="AT4" s="980" t="s">
        <v>20</v>
      </c>
      <c r="AU4" s="980"/>
      <c r="AV4" s="980" t="s">
        <v>19</v>
      </c>
      <c r="AW4" s="980"/>
      <c r="AX4" s="980" t="s">
        <v>20</v>
      </c>
      <c r="AY4" s="980"/>
      <c r="AZ4" s="980" t="s">
        <v>19</v>
      </c>
      <c r="BA4" s="980"/>
      <c r="BB4" s="980" t="s">
        <v>20</v>
      </c>
      <c r="BC4" s="1377"/>
      <c r="BD4" s="1072"/>
      <c r="BE4" s="1074"/>
      <c r="BF4" s="1140"/>
      <c r="BG4" s="1142"/>
      <c r="BH4" s="1080"/>
    </row>
    <row r="5" spans="1:62" s="178" customFormat="1" ht="57.75" customHeight="1" thickBot="1" x14ac:dyDescent="0.25">
      <c r="A5" s="1371" t="s">
        <v>433</v>
      </c>
      <c r="B5" s="1372">
        <v>0.2</v>
      </c>
      <c r="C5" s="99" t="s">
        <v>434</v>
      </c>
      <c r="D5" s="99" t="s">
        <v>435</v>
      </c>
      <c r="E5" s="175" t="s">
        <v>436</v>
      </c>
      <c r="F5" s="176">
        <v>0.04</v>
      </c>
      <c r="G5" s="177" t="s">
        <v>109</v>
      </c>
      <c r="H5" s="1354"/>
      <c r="I5" s="1355"/>
      <c r="J5" s="1356"/>
      <c r="K5" s="1357"/>
      <c r="L5" s="1354"/>
      <c r="M5" s="1355"/>
      <c r="N5" s="1356"/>
      <c r="O5" s="1357"/>
      <c r="P5" s="1354"/>
      <c r="Q5" s="1355"/>
      <c r="R5" s="1356"/>
      <c r="S5" s="1357"/>
      <c r="T5" s="1354"/>
      <c r="U5" s="1355"/>
      <c r="V5" s="1356"/>
      <c r="W5" s="1357"/>
      <c r="X5" s="1354"/>
      <c r="Y5" s="1355"/>
      <c r="Z5" s="1356"/>
      <c r="AA5" s="1357"/>
      <c r="AB5" s="1354"/>
      <c r="AC5" s="1355"/>
      <c r="AD5" s="1368">
        <v>1</v>
      </c>
      <c r="AE5" s="1369"/>
      <c r="AF5" s="1354"/>
      <c r="AG5" s="1355"/>
      <c r="AH5" s="1356"/>
      <c r="AI5" s="1357"/>
      <c r="AJ5" s="1354"/>
      <c r="AK5" s="1355"/>
      <c r="AL5" s="1356"/>
      <c r="AM5" s="1357"/>
      <c r="AN5" s="1354"/>
      <c r="AO5" s="1355"/>
      <c r="AP5" s="1356"/>
      <c r="AQ5" s="1357"/>
      <c r="AR5" s="1310"/>
      <c r="AS5" s="1310"/>
      <c r="AT5" s="1324"/>
      <c r="AU5" s="1324"/>
      <c r="AV5" s="1310"/>
      <c r="AW5" s="1310"/>
      <c r="AX5" s="1327">
        <v>1</v>
      </c>
      <c r="AY5" s="1327"/>
      <c r="AZ5" s="1310"/>
      <c r="BA5" s="1310"/>
      <c r="BB5" s="1324"/>
      <c r="BC5" s="1349"/>
      <c r="BD5" s="129">
        <f>H5+L5+P5+T5+X5+AB5+AF5+AJ5+AN5+AR5+AV5+AZ5</f>
        <v>0</v>
      </c>
      <c r="BE5" s="162">
        <f>J5+N5+R5+V5+Z5+AD5+AH5+AL5+AP5+AT5+AX5+BB5</f>
        <v>2</v>
      </c>
      <c r="BF5" s="131">
        <f>BD5/BE5</f>
        <v>0</v>
      </c>
      <c r="BG5" s="132">
        <f>F5*BF5</f>
        <v>0</v>
      </c>
      <c r="BH5" s="133">
        <f>F5</f>
        <v>0.04</v>
      </c>
      <c r="BI5" s="257">
        <f>((J5+N5+R5)/BE5)*BH5</f>
        <v>0</v>
      </c>
    </row>
    <row r="6" spans="1:62" s="178" customFormat="1" ht="72" customHeight="1" thickBot="1" x14ac:dyDescent="0.25">
      <c r="A6" s="1371"/>
      <c r="B6" s="1372"/>
      <c r="C6" s="94" t="s">
        <v>437</v>
      </c>
      <c r="D6" s="93" t="s">
        <v>438</v>
      </c>
      <c r="E6" s="94" t="s">
        <v>439</v>
      </c>
      <c r="F6" s="176">
        <v>4.4999999999999998E-2</v>
      </c>
      <c r="G6" s="179" t="s">
        <v>115</v>
      </c>
      <c r="H6" s="1348">
        <v>2</v>
      </c>
      <c r="I6" s="1335"/>
      <c r="J6" s="1342">
        <v>2</v>
      </c>
      <c r="K6" s="1343"/>
      <c r="L6" s="1348">
        <v>14</v>
      </c>
      <c r="M6" s="1335"/>
      <c r="N6" s="1342">
        <v>12</v>
      </c>
      <c r="O6" s="1343"/>
      <c r="P6" s="1348">
        <v>17</v>
      </c>
      <c r="Q6" s="1335"/>
      <c r="R6" s="1342">
        <v>12</v>
      </c>
      <c r="S6" s="1343"/>
      <c r="T6" s="1340"/>
      <c r="U6" s="1341"/>
      <c r="V6" s="1342">
        <v>12</v>
      </c>
      <c r="W6" s="1343"/>
      <c r="X6" s="1346"/>
      <c r="Y6" s="1347"/>
      <c r="Z6" s="1342">
        <v>12</v>
      </c>
      <c r="AA6" s="1343"/>
      <c r="AB6" s="1346"/>
      <c r="AC6" s="1347"/>
      <c r="AD6" s="1342">
        <v>12</v>
      </c>
      <c r="AE6" s="1343"/>
      <c r="AF6" s="1340"/>
      <c r="AG6" s="1341"/>
      <c r="AH6" s="1342">
        <v>12</v>
      </c>
      <c r="AI6" s="1343"/>
      <c r="AJ6" s="1340"/>
      <c r="AK6" s="1341"/>
      <c r="AL6" s="1342">
        <v>12</v>
      </c>
      <c r="AM6" s="1343"/>
      <c r="AN6" s="1346"/>
      <c r="AO6" s="1347"/>
      <c r="AP6" s="1342">
        <v>12</v>
      </c>
      <c r="AQ6" s="1343"/>
      <c r="AR6" s="1324"/>
      <c r="AS6" s="1324"/>
      <c r="AT6" s="1313">
        <v>12</v>
      </c>
      <c r="AU6" s="1313"/>
      <c r="AV6" s="1324"/>
      <c r="AW6" s="1324"/>
      <c r="AX6" s="1313">
        <v>12</v>
      </c>
      <c r="AY6" s="1313"/>
      <c r="AZ6" s="1310"/>
      <c r="BA6" s="1310"/>
      <c r="BB6" s="1313">
        <v>14</v>
      </c>
      <c r="BC6" s="1314"/>
      <c r="BD6" s="129">
        <f t="shared" ref="BD6:BD24" si="0">H6+L6+P6+T6+X6+AB6+AF6+AJ6+AN6+AR6+AV6+AZ6</f>
        <v>33</v>
      </c>
      <c r="BE6" s="162">
        <f t="shared" ref="BE6:BE24" si="1">J6+N6+R6+V6+Z6+AD6+AH6+AL6+AP6+AT6+AX6+BB6</f>
        <v>136</v>
      </c>
      <c r="BF6" s="131">
        <f t="shared" ref="BF6:BF24" si="2">BD6/BE6</f>
        <v>0.24264705882352941</v>
      </c>
      <c r="BG6" s="132">
        <f t="shared" ref="BG6:BG24" si="3">F6*BF6</f>
        <v>1.0919117647058822E-2</v>
      </c>
      <c r="BH6" s="133">
        <f t="shared" ref="BH6:BH24" si="4">F6</f>
        <v>4.4999999999999998E-2</v>
      </c>
      <c r="BI6" s="257">
        <f t="shared" ref="BI6:BI24" si="5">((J6+N6+R6)/BE6)*BH6</f>
        <v>8.6029411764705875E-3</v>
      </c>
    </row>
    <row r="7" spans="1:62" s="178" customFormat="1" ht="69" customHeight="1" thickBot="1" x14ac:dyDescent="0.25">
      <c r="A7" s="1371"/>
      <c r="B7" s="1372"/>
      <c r="C7" s="94" t="s">
        <v>440</v>
      </c>
      <c r="D7" s="93" t="s">
        <v>441</v>
      </c>
      <c r="E7" s="93" t="s">
        <v>442</v>
      </c>
      <c r="F7" s="176">
        <v>0.03</v>
      </c>
      <c r="G7" s="169" t="s">
        <v>118</v>
      </c>
      <c r="H7" s="1340"/>
      <c r="I7" s="1341"/>
      <c r="J7" s="1350"/>
      <c r="K7" s="1351"/>
      <c r="L7" s="1348">
        <v>1</v>
      </c>
      <c r="M7" s="1335"/>
      <c r="N7" s="1342">
        <v>1</v>
      </c>
      <c r="O7" s="1343"/>
      <c r="P7" s="1348">
        <v>1</v>
      </c>
      <c r="Q7" s="1335"/>
      <c r="R7" s="1342">
        <v>1</v>
      </c>
      <c r="S7" s="1343"/>
      <c r="T7" s="1340"/>
      <c r="U7" s="1341"/>
      <c r="V7" s="1342">
        <v>1</v>
      </c>
      <c r="W7" s="1343"/>
      <c r="X7" s="1346"/>
      <c r="Y7" s="1347"/>
      <c r="Z7" s="1344">
        <v>1</v>
      </c>
      <c r="AA7" s="1345"/>
      <c r="AB7" s="1346"/>
      <c r="AC7" s="1347"/>
      <c r="AD7" s="1342">
        <v>2</v>
      </c>
      <c r="AE7" s="1343"/>
      <c r="AF7" s="1340"/>
      <c r="AG7" s="1341"/>
      <c r="AH7" s="1342">
        <v>1</v>
      </c>
      <c r="AI7" s="1343"/>
      <c r="AJ7" s="1340"/>
      <c r="AK7" s="1341"/>
      <c r="AL7" s="1344">
        <v>1</v>
      </c>
      <c r="AM7" s="1345"/>
      <c r="AN7" s="1346"/>
      <c r="AO7" s="1347"/>
      <c r="AP7" s="1344">
        <v>1</v>
      </c>
      <c r="AQ7" s="1345"/>
      <c r="AR7" s="1324"/>
      <c r="AS7" s="1324"/>
      <c r="AT7" s="1313">
        <v>1</v>
      </c>
      <c r="AU7" s="1313"/>
      <c r="AV7" s="1324"/>
      <c r="AW7" s="1324"/>
      <c r="AX7" s="1313">
        <v>1</v>
      </c>
      <c r="AY7" s="1313"/>
      <c r="AZ7" s="1310"/>
      <c r="BA7" s="1310"/>
      <c r="BB7" s="1313">
        <v>1</v>
      </c>
      <c r="BC7" s="1314"/>
      <c r="BD7" s="129">
        <f t="shared" si="0"/>
        <v>2</v>
      </c>
      <c r="BE7" s="162">
        <f t="shared" si="1"/>
        <v>12</v>
      </c>
      <c r="BF7" s="131">
        <f t="shared" si="2"/>
        <v>0.16666666666666666</v>
      </c>
      <c r="BG7" s="132">
        <f t="shared" si="3"/>
        <v>4.9999999999999992E-3</v>
      </c>
      <c r="BH7" s="133">
        <f t="shared" si="4"/>
        <v>0.03</v>
      </c>
      <c r="BI7" s="257">
        <f t="shared" si="5"/>
        <v>4.9999999999999992E-3</v>
      </c>
    </row>
    <row r="8" spans="1:62" s="178" customFormat="1" ht="72.75" customHeight="1" thickBot="1" x14ac:dyDescent="0.25">
      <c r="A8" s="1371"/>
      <c r="B8" s="1372"/>
      <c r="C8" s="93" t="s">
        <v>443</v>
      </c>
      <c r="D8" s="93" t="s">
        <v>444</v>
      </c>
      <c r="E8" s="93" t="s">
        <v>445</v>
      </c>
      <c r="F8" s="176">
        <v>4.4999999999999998E-2</v>
      </c>
      <c r="G8" s="169" t="s">
        <v>446</v>
      </c>
      <c r="H8" s="1340"/>
      <c r="I8" s="1341"/>
      <c r="J8" s="1350"/>
      <c r="K8" s="1351"/>
      <c r="L8" s="1340"/>
      <c r="M8" s="1341"/>
      <c r="N8" s="1350"/>
      <c r="O8" s="1351"/>
      <c r="P8" s="1340"/>
      <c r="Q8" s="1341"/>
      <c r="R8" s="1342">
        <v>1</v>
      </c>
      <c r="S8" s="1343"/>
      <c r="T8" s="1340"/>
      <c r="U8" s="1341"/>
      <c r="V8" s="1350"/>
      <c r="W8" s="1351"/>
      <c r="X8" s="1346"/>
      <c r="Y8" s="1347"/>
      <c r="Z8" s="1352"/>
      <c r="AA8" s="1353"/>
      <c r="AB8" s="1346"/>
      <c r="AC8" s="1347"/>
      <c r="AD8" s="1350"/>
      <c r="AE8" s="1351"/>
      <c r="AF8" s="1340"/>
      <c r="AG8" s="1341"/>
      <c r="AH8" s="1350"/>
      <c r="AI8" s="1351"/>
      <c r="AJ8" s="1340"/>
      <c r="AK8" s="1341"/>
      <c r="AL8" s="1352"/>
      <c r="AM8" s="1353"/>
      <c r="AN8" s="1346"/>
      <c r="AO8" s="1347"/>
      <c r="AP8" s="1352"/>
      <c r="AQ8" s="1353"/>
      <c r="AR8" s="1324"/>
      <c r="AS8" s="1324"/>
      <c r="AT8" s="1324"/>
      <c r="AU8" s="1324"/>
      <c r="AV8" s="1324"/>
      <c r="AW8" s="1324"/>
      <c r="AX8" s="1324"/>
      <c r="AY8" s="1324"/>
      <c r="AZ8" s="1310"/>
      <c r="BA8" s="1310"/>
      <c r="BB8" s="1324"/>
      <c r="BC8" s="1349"/>
      <c r="BD8" s="129">
        <f t="shared" si="0"/>
        <v>0</v>
      </c>
      <c r="BE8" s="162">
        <f t="shared" si="1"/>
        <v>1</v>
      </c>
      <c r="BF8" s="131">
        <f t="shared" si="2"/>
        <v>0</v>
      </c>
      <c r="BG8" s="132">
        <f t="shared" si="3"/>
        <v>0</v>
      </c>
      <c r="BH8" s="133">
        <f t="shared" si="4"/>
        <v>4.4999999999999998E-2</v>
      </c>
      <c r="BI8" s="257">
        <f t="shared" si="5"/>
        <v>4.4999999999999998E-2</v>
      </c>
    </row>
    <row r="9" spans="1:62" s="178" customFormat="1" ht="57.75" customHeight="1" thickBot="1" x14ac:dyDescent="0.25">
      <c r="A9" s="1044"/>
      <c r="B9" s="1373"/>
      <c r="C9" s="180" t="s">
        <v>447</v>
      </c>
      <c r="D9" s="93" t="s">
        <v>448</v>
      </c>
      <c r="E9" s="93" t="s">
        <v>449</v>
      </c>
      <c r="F9" s="176">
        <v>0.04</v>
      </c>
      <c r="G9" s="169" t="s">
        <v>450</v>
      </c>
      <c r="H9" s="1348">
        <v>21</v>
      </c>
      <c r="I9" s="1335"/>
      <c r="J9" s="1342">
        <v>21</v>
      </c>
      <c r="K9" s="1343"/>
      <c r="L9" s="1348">
        <v>20</v>
      </c>
      <c r="M9" s="1335"/>
      <c r="N9" s="1342">
        <v>20</v>
      </c>
      <c r="O9" s="1343"/>
      <c r="P9" s="1348">
        <v>19</v>
      </c>
      <c r="Q9" s="1335"/>
      <c r="R9" s="1342">
        <v>19</v>
      </c>
      <c r="S9" s="1343"/>
      <c r="T9" s="1340"/>
      <c r="U9" s="1341"/>
      <c r="V9" s="1342">
        <v>21</v>
      </c>
      <c r="W9" s="1343"/>
      <c r="X9" s="1346"/>
      <c r="Y9" s="1347"/>
      <c r="Z9" s="1344">
        <v>21</v>
      </c>
      <c r="AA9" s="1345"/>
      <c r="AB9" s="1346"/>
      <c r="AC9" s="1347"/>
      <c r="AD9" s="1342">
        <v>19</v>
      </c>
      <c r="AE9" s="1343"/>
      <c r="AF9" s="1340"/>
      <c r="AG9" s="1341"/>
      <c r="AH9" s="1342">
        <v>20</v>
      </c>
      <c r="AI9" s="1343"/>
      <c r="AJ9" s="1340"/>
      <c r="AK9" s="1341"/>
      <c r="AL9" s="1344">
        <v>21</v>
      </c>
      <c r="AM9" s="1345"/>
      <c r="AN9" s="1346"/>
      <c r="AO9" s="1347"/>
      <c r="AP9" s="1344">
        <v>20</v>
      </c>
      <c r="AQ9" s="1345"/>
      <c r="AR9" s="1324"/>
      <c r="AS9" s="1324"/>
      <c r="AT9" s="1313">
        <v>22</v>
      </c>
      <c r="AU9" s="1313"/>
      <c r="AV9" s="1324"/>
      <c r="AW9" s="1324"/>
      <c r="AX9" s="1313">
        <v>20</v>
      </c>
      <c r="AY9" s="1313"/>
      <c r="AZ9" s="1310"/>
      <c r="BA9" s="1310"/>
      <c r="BB9" s="1313">
        <v>20</v>
      </c>
      <c r="BC9" s="1314"/>
      <c r="BD9" s="129">
        <f>H9+L9+P9+T9+X9+AB9+AF9+AJ9+AN9+AR9+AV9+AZ9</f>
        <v>60</v>
      </c>
      <c r="BE9" s="162">
        <f t="shared" si="1"/>
        <v>244</v>
      </c>
      <c r="BF9" s="131">
        <f t="shared" si="2"/>
        <v>0.24590163934426229</v>
      </c>
      <c r="BG9" s="132">
        <f t="shared" si="3"/>
        <v>9.8360655737704927E-3</v>
      </c>
      <c r="BH9" s="133">
        <f t="shared" si="4"/>
        <v>0.04</v>
      </c>
      <c r="BI9" s="257">
        <f t="shared" si="5"/>
        <v>9.8360655737704927E-3</v>
      </c>
    </row>
    <row r="10" spans="1:62" s="178" customFormat="1" ht="114.75" customHeight="1" thickBot="1" x14ac:dyDescent="0.25">
      <c r="A10" s="1256" t="s">
        <v>451</v>
      </c>
      <c r="B10" s="1358">
        <v>0.3</v>
      </c>
      <c r="C10" s="96" t="s">
        <v>452</v>
      </c>
      <c r="D10" s="96" t="s">
        <v>453</v>
      </c>
      <c r="E10" s="181" t="s">
        <v>454</v>
      </c>
      <c r="F10" s="176">
        <v>0.04</v>
      </c>
      <c r="G10" s="182" t="s">
        <v>123</v>
      </c>
      <c r="H10" s="1334">
        <v>2.3E-2</v>
      </c>
      <c r="I10" s="1335"/>
      <c r="J10" s="1336">
        <v>1.2999999999999999E-2</v>
      </c>
      <c r="K10" s="1337"/>
      <c r="L10" s="1334">
        <v>5.6000000000000001E-2</v>
      </c>
      <c r="M10" s="1335"/>
      <c r="N10" s="1332">
        <v>1.7000000000000001E-2</v>
      </c>
      <c r="O10" s="1333"/>
      <c r="P10" s="1338">
        <v>4.2999999999999997E-2</v>
      </c>
      <c r="Q10" s="1339"/>
      <c r="R10" s="1332">
        <v>1.7000000000000001E-2</v>
      </c>
      <c r="S10" s="1333"/>
      <c r="T10" s="1328"/>
      <c r="U10" s="1329"/>
      <c r="V10" s="1332">
        <v>1.7000000000000001E-2</v>
      </c>
      <c r="W10" s="1333"/>
      <c r="X10" s="1328"/>
      <c r="Y10" s="1329"/>
      <c r="Z10" s="1332">
        <v>1.7000000000000001E-2</v>
      </c>
      <c r="AA10" s="1333"/>
      <c r="AB10" s="1328"/>
      <c r="AC10" s="1329"/>
      <c r="AD10" s="1332">
        <v>1.7000000000000001E-2</v>
      </c>
      <c r="AE10" s="1333"/>
      <c r="AF10" s="1328"/>
      <c r="AG10" s="1329"/>
      <c r="AH10" s="1332">
        <v>1.7000000000000001E-2</v>
      </c>
      <c r="AI10" s="1333"/>
      <c r="AJ10" s="1328"/>
      <c r="AK10" s="1329"/>
      <c r="AL10" s="1332">
        <v>1.7000000000000001E-2</v>
      </c>
      <c r="AM10" s="1333"/>
      <c r="AN10" s="1328"/>
      <c r="AO10" s="1329"/>
      <c r="AP10" s="1332">
        <v>1.7000000000000001E-2</v>
      </c>
      <c r="AQ10" s="1333"/>
      <c r="AR10" s="1328"/>
      <c r="AS10" s="1329"/>
      <c r="AT10" s="1330">
        <v>1.7000000000000001E-2</v>
      </c>
      <c r="AU10" s="1330"/>
      <c r="AV10" s="1328"/>
      <c r="AW10" s="1329"/>
      <c r="AX10" s="1330">
        <v>1.7000000000000001E-2</v>
      </c>
      <c r="AY10" s="1330"/>
      <c r="AZ10" s="1328"/>
      <c r="BA10" s="1329"/>
      <c r="BB10" s="1330">
        <v>1.7000000000000001E-2</v>
      </c>
      <c r="BC10" s="1331"/>
      <c r="BD10" s="263">
        <f>H10+L10+P10+T10+X10+AB10+AF10+AJ10+AN10+AR10+AV10+AZ10</f>
        <v>0.122</v>
      </c>
      <c r="BE10" s="149">
        <f t="shared" si="1"/>
        <v>0.20000000000000007</v>
      </c>
      <c r="BF10" s="131">
        <f t="shared" si="2"/>
        <v>0.60999999999999976</v>
      </c>
      <c r="BG10" s="132">
        <f t="shared" si="3"/>
        <v>2.4399999999999991E-2</v>
      </c>
      <c r="BH10" s="133">
        <f t="shared" si="4"/>
        <v>0.04</v>
      </c>
      <c r="BI10" s="257">
        <f t="shared" si="5"/>
        <v>9.3999999999999969E-3</v>
      </c>
      <c r="BJ10" s="264"/>
    </row>
    <row r="11" spans="1:62" s="178" customFormat="1" ht="86.25" customHeight="1" thickBot="1" x14ac:dyDescent="0.25">
      <c r="A11" s="1258"/>
      <c r="B11" s="1359"/>
      <c r="C11" s="119" t="s">
        <v>455</v>
      </c>
      <c r="D11" s="96" t="s">
        <v>456</v>
      </c>
      <c r="E11" s="96" t="s">
        <v>457</v>
      </c>
      <c r="F11" s="176">
        <v>0.06</v>
      </c>
      <c r="G11" s="183" t="s">
        <v>128</v>
      </c>
      <c r="H11" s="1323">
        <v>23</v>
      </c>
      <c r="I11" s="1323"/>
      <c r="J11" s="1313">
        <v>25</v>
      </c>
      <c r="K11" s="1313"/>
      <c r="L11" s="1323">
        <v>32</v>
      </c>
      <c r="M11" s="1323"/>
      <c r="N11" s="1313">
        <v>34</v>
      </c>
      <c r="O11" s="1313"/>
      <c r="P11" s="1323">
        <v>36</v>
      </c>
      <c r="Q11" s="1323"/>
      <c r="R11" s="1313">
        <v>35</v>
      </c>
      <c r="S11" s="1313"/>
      <c r="T11" s="1310"/>
      <c r="U11" s="1310"/>
      <c r="V11" s="1313">
        <v>35</v>
      </c>
      <c r="W11" s="1313"/>
      <c r="X11" s="1310"/>
      <c r="Y11" s="1310"/>
      <c r="Z11" s="1313">
        <v>35</v>
      </c>
      <c r="AA11" s="1313"/>
      <c r="AB11" s="1310"/>
      <c r="AC11" s="1310"/>
      <c r="AD11" s="1313">
        <v>37</v>
      </c>
      <c r="AE11" s="1313"/>
      <c r="AF11" s="1310"/>
      <c r="AG11" s="1310"/>
      <c r="AH11" s="1313">
        <v>34</v>
      </c>
      <c r="AI11" s="1313"/>
      <c r="AJ11" s="1310"/>
      <c r="AK11" s="1310"/>
      <c r="AL11" s="1313">
        <v>33</v>
      </c>
      <c r="AM11" s="1313"/>
      <c r="AN11" s="1310"/>
      <c r="AO11" s="1310"/>
      <c r="AP11" s="1313">
        <v>33</v>
      </c>
      <c r="AQ11" s="1313"/>
      <c r="AR11" s="1310"/>
      <c r="AS11" s="1310"/>
      <c r="AT11" s="1313">
        <v>33</v>
      </c>
      <c r="AU11" s="1313"/>
      <c r="AV11" s="1310"/>
      <c r="AW11" s="1310"/>
      <c r="AX11" s="1313">
        <v>33</v>
      </c>
      <c r="AY11" s="1313"/>
      <c r="AZ11" s="1310"/>
      <c r="BA11" s="1310"/>
      <c r="BB11" s="1313">
        <v>33</v>
      </c>
      <c r="BC11" s="1314"/>
      <c r="BD11" s="129">
        <f>H11+L11+P11+T11+X11+AB11+AF11+AJ11+AN11+AR11+AV11+AZ11</f>
        <v>91</v>
      </c>
      <c r="BE11" s="162">
        <f t="shared" si="1"/>
        <v>400</v>
      </c>
      <c r="BF11" s="131">
        <f t="shared" si="2"/>
        <v>0.22750000000000001</v>
      </c>
      <c r="BG11" s="132">
        <f t="shared" si="3"/>
        <v>1.3650000000000001E-2</v>
      </c>
      <c r="BH11" s="133">
        <f t="shared" si="4"/>
        <v>0.06</v>
      </c>
      <c r="BI11" s="257">
        <f t="shared" si="5"/>
        <v>1.4099999999999998E-2</v>
      </c>
    </row>
    <row r="12" spans="1:62" s="178" customFormat="1" ht="43.5" customHeight="1" thickBot="1" x14ac:dyDescent="0.25">
      <c r="A12" s="1258"/>
      <c r="B12" s="1359"/>
      <c r="C12" s="94" t="s">
        <v>458</v>
      </c>
      <c r="D12" s="93" t="s">
        <v>459</v>
      </c>
      <c r="E12" s="96" t="s">
        <v>460</v>
      </c>
      <c r="F12" s="176">
        <v>0.05</v>
      </c>
      <c r="G12" s="183" t="s">
        <v>132</v>
      </c>
      <c r="H12" s="1323">
        <v>1</v>
      </c>
      <c r="I12" s="1323"/>
      <c r="J12" s="1313">
        <v>1</v>
      </c>
      <c r="K12" s="1313"/>
      <c r="L12" s="1323">
        <v>1</v>
      </c>
      <c r="M12" s="1323"/>
      <c r="N12" s="1313">
        <v>1</v>
      </c>
      <c r="O12" s="1313"/>
      <c r="P12" s="1323">
        <v>1</v>
      </c>
      <c r="Q12" s="1323"/>
      <c r="R12" s="1313">
        <v>1</v>
      </c>
      <c r="S12" s="1313"/>
      <c r="T12" s="1310"/>
      <c r="U12" s="1310"/>
      <c r="V12" s="1313">
        <v>1</v>
      </c>
      <c r="W12" s="1313"/>
      <c r="X12" s="1310"/>
      <c r="Y12" s="1310"/>
      <c r="Z12" s="1313">
        <v>1</v>
      </c>
      <c r="AA12" s="1313"/>
      <c r="AB12" s="1310"/>
      <c r="AC12" s="1310"/>
      <c r="AD12" s="1313">
        <v>1</v>
      </c>
      <c r="AE12" s="1313"/>
      <c r="AF12" s="1310"/>
      <c r="AG12" s="1310"/>
      <c r="AH12" s="1313">
        <v>1</v>
      </c>
      <c r="AI12" s="1313"/>
      <c r="AJ12" s="1310"/>
      <c r="AK12" s="1310"/>
      <c r="AL12" s="1313">
        <v>2</v>
      </c>
      <c r="AM12" s="1313"/>
      <c r="AN12" s="1310"/>
      <c r="AO12" s="1310"/>
      <c r="AP12" s="1313">
        <v>1</v>
      </c>
      <c r="AQ12" s="1313"/>
      <c r="AR12" s="1310"/>
      <c r="AS12" s="1310"/>
      <c r="AT12" s="1313">
        <v>1</v>
      </c>
      <c r="AU12" s="1313"/>
      <c r="AV12" s="1310"/>
      <c r="AW12" s="1310"/>
      <c r="AX12" s="1313">
        <v>1</v>
      </c>
      <c r="AY12" s="1313"/>
      <c r="AZ12" s="1310"/>
      <c r="BA12" s="1310"/>
      <c r="BB12" s="1310"/>
      <c r="BC12" s="1315"/>
      <c r="BD12" s="129">
        <f t="shared" si="0"/>
        <v>3</v>
      </c>
      <c r="BE12" s="162">
        <f t="shared" si="1"/>
        <v>12</v>
      </c>
      <c r="BF12" s="131">
        <f t="shared" si="2"/>
        <v>0.25</v>
      </c>
      <c r="BG12" s="132">
        <f t="shared" si="3"/>
        <v>1.2500000000000001E-2</v>
      </c>
      <c r="BH12" s="133">
        <f t="shared" si="4"/>
        <v>0.05</v>
      </c>
      <c r="BI12" s="257">
        <f t="shared" si="5"/>
        <v>1.2500000000000001E-2</v>
      </c>
    </row>
    <row r="13" spans="1:62" s="178" customFormat="1" ht="57.75" customHeight="1" thickBot="1" x14ac:dyDescent="0.25">
      <c r="A13" s="1258"/>
      <c r="B13" s="1359"/>
      <c r="C13" s="94" t="s">
        <v>461</v>
      </c>
      <c r="D13" s="93" t="s">
        <v>462</v>
      </c>
      <c r="E13" s="96" t="s">
        <v>463</v>
      </c>
      <c r="F13" s="176">
        <v>7.0000000000000007E-2</v>
      </c>
      <c r="G13" s="183" t="s">
        <v>136</v>
      </c>
      <c r="H13" s="1323">
        <v>0</v>
      </c>
      <c r="I13" s="1323"/>
      <c r="J13" s="1313">
        <v>1</v>
      </c>
      <c r="K13" s="1313"/>
      <c r="L13" s="1323">
        <v>2</v>
      </c>
      <c r="M13" s="1323"/>
      <c r="N13" s="1313">
        <v>1</v>
      </c>
      <c r="O13" s="1313"/>
      <c r="P13" s="1323">
        <v>3</v>
      </c>
      <c r="Q13" s="1323"/>
      <c r="R13" s="1313">
        <v>1</v>
      </c>
      <c r="S13" s="1313"/>
      <c r="T13" s="1310"/>
      <c r="U13" s="1310"/>
      <c r="V13" s="1313">
        <v>2</v>
      </c>
      <c r="W13" s="1313"/>
      <c r="X13" s="1310"/>
      <c r="Y13" s="1310"/>
      <c r="Z13" s="1313">
        <v>2</v>
      </c>
      <c r="AA13" s="1313"/>
      <c r="AB13" s="1310"/>
      <c r="AC13" s="1310"/>
      <c r="AD13" s="1313">
        <v>3</v>
      </c>
      <c r="AE13" s="1313"/>
      <c r="AF13" s="1310"/>
      <c r="AG13" s="1310"/>
      <c r="AH13" s="1313">
        <v>2</v>
      </c>
      <c r="AI13" s="1313"/>
      <c r="AJ13" s="1310"/>
      <c r="AK13" s="1310"/>
      <c r="AL13" s="1313">
        <v>3</v>
      </c>
      <c r="AM13" s="1313"/>
      <c r="AN13" s="1310"/>
      <c r="AO13" s="1310"/>
      <c r="AP13" s="1313">
        <v>2</v>
      </c>
      <c r="AQ13" s="1313"/>
      <c r="AR13" s="1310"/>
      <c r="AS13" s="1310"/>
      <c r="AT13" s="1313">
        <v>3</v>
      </c>
      <c r="AU13" s="1313"/>
      <c r="AV13" s="1310"/>
      <c r="AW13" s="1310"/>
      <c r="AX13" s="1313">
        <v>2</v>
      </c>
      <c r="AY13" s="1313"/>
      <c r="AZ13" s="1310"/>
      <c r="BA13" s="1310"/>
      <c r="BB13" s="1313">
        <v>2</v>
      </c>
      <c r="BC13" s="1314"/>
      <c r="BD13" s="129">
        <f t="shared" si="0"/>
        <v>5</v>
      </c>
      <c r="BE13" s="162">
        <f t="shared" si="1"/>
        <v>24</v>
      </c>
      <c r="BF13" s="131">
        <f t="shared" si="2"/>
        <v>0.20833333333333334</v>
      </c>
      <c r="BG13" s="276">
        <f t="shared" si="3"/>
        <v>1.4583333333333335E-2</v>
      </c>
      <c r="BH13" s="133">
        <f t="shared" si="4"/>
        <v>7.0000000000000007E-2</v>
      </c>
      <c r="BI13" s="257">
        <f t="shared" si="5"/>
        <v>8.7500000000000008E-3</v>
      </c>
    </row>
    <row r="14" spans="1:62" s="178" customFormat="1" ht="57.75" customHeight="1" thickBot="1" x14ac:dyDescent="0.25">
      <c r="A14" s="1258"/>
      <c r="B14" s="1359"/>
      <c r="C14" s="119" t="s">
        <v>464</v>
      </c>
      <c r="D14" s="96" t="s">
        <v>465</v>
      </c>
      <c r="E14" s="96" t="s">
        <v>466</v>
      </c>
      <c r="F14" s="176">
        <v>0.04</v>
      </c>
      <c r="G14" s="183" t="s">
        <v>467</v>
      </c>
      <c r="H14" s="1323">
        <v>374</v>
      </c>
      <c r="I14" s="1323"/>
      <c r="J14" s="1326">
        <v>374</v>
      </c>
      <c r="K14" s="1327"/>
      <c r="L14" s="1323">
        <v>0</v>
      </c>
      <c r="M14" s="1323"/>
      <c r="N14" s="1327">
        <v>156</v>
      </c>
      <c r="O14" s="1327"/>
      <c r="P14" s="1323">
        <v>0</v>
      </c>
      <c r="Q14" s="1323"/>
      <c r="R14" s="1313">
        <v>157</v>
      </c>
      <c r="S14" s="1313"/>
      <c r="T14" s="1310"/>
      <c r="U14" s="1310"/>
      <c r="V14" s="1313">
        <v>157</v>
      </c>
      <c r="W14" s="1313"/>
      <c r="X14" s="1310"/>
      <c r="Y14" s="1310"/>
      <c r="Z14" s="1313">
        <v>157</v>
      </c>
      <c r="AA14" s="1313"/>
      <c r="AB14" s="1310"/>
      <c r="AC14" s="1310"/>
      <c r="AD14" s="1313">
        <v>157</v>
      </c>
      <c r="AE14" s="1313"/>
      <c r="AF14" s="1310"/>
      <c r="AG14" s="1310"/>
      <c r="AH14" s="1313">
        <v>157</v>
      </c>
      <c r="AI14" s="1313"/>
      <c r="AJ14" s="1310"/>
      <c r="AK14" s="1310"/>
      <c r="AL14" s="1313">
        <v>157</v>
      </c>
      <c r="AM14" s="1313"/>
      <c r="AN14" s="1310"/>
      <c r="AO14" s="1310"/>
      <c r="AP14" s="1313">
        <v>157</v>
      </c>
      <c r="AQ14" s="1313"/>
      <c r="AR14" s="1310"/>
      <c r="AS14" s="1310"/>
      <c r="AT14" s="1313">
        <v>157</v>
      </c>
      <c r="AU14" s="1313"/>
      <c r="AV14" s="1310"/>
      <c r="AW14" s="1310"/>
      <c r="AX14" s="1313">
        <v>157</v>
      </c>
      <c r="AY14" s="1313"/>
      <c r="AZ14" s="1310"/>
      <c r="BA14" s="1310"/>
      <c r="BB14" s="1313">
        <v>157</v>
      </c>
      <c r="BC14" s="1314"/>
      <c r="BD14" s="129">
        <f t="shared" si="0"/>
        <v>374</v>
      </c>
      <c r="BE14" s="162">
        <f t="shared" si="1"/>
        <v>2100</v>
      </c>
      <c r="BF14" s="131">
        <f t="shared" si="2"/>
        <v>0.17809523809523808</v>
      </c>
      <c r="BG14" s="132">
        <f t="shared" si="3"/>
        <v>7.1238095238095236E-3</v>
      </c>
      <c r="BH14" s="133">
        <f t="shared" si="4"/>
        <v>0.04</v>
      </c>
      <c r="BI14" s="257">
        <f t="shared" si="5"/>
        <v>1.3085714285714286E-2</v>
      </c>
    </row>
    <row r="15" spans="1:62" s="178" customFormat="1" ht="57.75" customHeight="1" thickBot="1" x14ac:dyDescent="0.25">
      <c r="A15" s="1257"/>
      <c r="B15" s="1360"/>
      <c r="C15" s="119" t="s">
        <v>468</v>
      </c>
      <c r="D15" s="96" t="s">
        <v>469</v>
      </c>
      <c r="E15" s="96" t="s">
        <v>470</v>
      </c>
      <c r="F15" s="176">
        <v>0.04</v>
      </c>
      <c r="G15" s="183" t="s">
        <v>471</v>
      </c>
      <c r="H15" s="1323">
        <v>4</v>
      </c>
      <c r="I15" s="1323"/>
      <c r="J15" s="1313">
        <v>4</v>
      </c>
      <c r="K15" s="1313"/>
      <c r="L15" s="1323">
        <v>3</v>
      </c>
      <c r="M15" s="1323"/>
      <c r="N15" s="1313">
        <v>4</v>
      </c>
      <c r="O15" s="1313"/>
      <c r="P15" s="1323">
        <v>7</v>
      </c>
      <c r="Q15" s="1323"/>
      <c r="R15" s="1313">
        <v>4</v>
      </c>
      <c r="S15" s="1313"/>
      <c r="T15" s="1310"/>
      <c r="U15" s="1310"/>
      <c r="V15" s="1313">
        <v>4</v>
      </c>
      <c r="W15" s="1313"/>
      <c r="X15" s="1310"/>
      <c r="Y15" s="1310"/>
      <c r="Z15" s="1313">
        <v>4</v>
      </c>
      <c r="AA15" s="1313"/>
      <c r="AB15" s="1310"/>
      <c r="AC15" s="1310"/>
      <c r="AD15" s="1313">
        <v>4</v>
      </c>
      <c r="AE15" s="1313"/>
      <c r="AF15" s="1310"/>
      <c r="AG15" s="1310"/>
      <c r="AH15" s="1313">
        <v>4</v>
      </c>
      <c r="AI15" s="1313"/>
      <c r="AJ15" s="1310"/>
      <c r="AK15" s="1310"/>
      <c r="AL15" s="1313">
        <v>5</v>
      </c>
      <c r="AM15" s="1313"/>
      <c r="AN15" s="1310"/>
      <c r="AO15" s="1310"/>
      <c r="AP15" s="1313">
        <v>4</v>
      </c>
      <c r="AQ15" s="1313"/>
      <c r="AR15" s="1310"/>
      <c r="AS15" s="1310"/>
      <c r="AT15" s="1313">
        <v>5</v>
      </c>
      <c r="AU15" s="1313"/>
      <c r="AV15" s="1310"/>
      <c r="AW15" s="1310"/>
      <c r="AX15" s="1313">
        <v>4</v>
      </c>
      <c r="AY15" s="1313"/>
      <c r="AZ15" s="1310"/>
      <c r="BA15" s="1310"/>
      <c r="BB15" s="1313">
        <v>4</v>
      </c>
      <c r="BC15" s="1314"/>
      <c r="BD15" s="129">
        <f t="shared" si="0"/>
        <v>14</v>
      </c>
      <c r="BE15" s="162">
        <f t="shared" si="1"/>
        <v>50</v>
      </c>
      <c r="BF15" s="131">
        <f t="shared" si="2"/>
        <v>0.28000000000000003</v>
      </c>
      <c r="BG15" s="132">
        <f t="shared" si="3"/>
        <v>1.1200000000000002E-2</v>
      </c>
      <c r="BH15" s="133">
        <f t="shared" si="4"/>
        <v>0.04</v>
      </c>
      <c r="BI15" s="257">
        <f t="shared" si="5"/>
        <v>9.5999999999999992E-3</v>
      </c>
    </row>
    <row r="16" spans="1:62" s="178" customFormat="1" ht="71.25" customHeight="1" thickBot="1" x14ac:dyDescent="0.25">
      <c r="A16" s="1262" t="s">
        <v>472</v>
      </c>
      <c r="B16" s="1325">
        <v>0.2</v>
      </c>
      <c r="C16" s="94" t="s">
        <v>473</v>
      </c>
      <c r="D16" s="93" t="s">
        <v>474</v>
      </c>
      <c r="E16" s="184" t="s">
        <v>475</v>
      </c>
      <c r="F16" s="176">
        <v>0.03</v>
      </c>
      <c r="G16" s="183" t="s">
        <v>198</v>
      </c>
      <c r="H16" s="1310"/>
      <c r="I16" s="1310"/>
      <c r="J16" s="1310"/>
      <c r="K16" s="1310"/>
      <c r="L16" s="1310"/>
      <c r="M16" s="1310"/>
      <c r="N16" s="1310"/>
      <c r="O16" s="1310"/>
      <c r="P16" s="1310"/>
      <c r="Q16" s="1310"/>
      <c r="R16" s="1310"/>
      <c r="S16" s="1310"/>
      <c r="T16" s="1310"/>
      <c r="U16" s="1310"/>
      <c r="V16" s="1310"/>
      <c r="W16" s="1310"/>
      <c r="X16" s="1310"/>
      <c r="Y16" s="1310"/>
      <c r="Z16" s="1310"/>
      <c r="AA16" s="1310"/>
      <c r="AB16" s="1310"/>
      <c r="AC16" s="1310"/>
      <c r="AD16" s="1313">
        <v>1</v>
      </c>
      <c r="AE16" s="1313"/>
      <c r="AF16" s="1310"/>
      <c r="AG16" s="1310"/>
      <c r="AH16" s="1310"/>
      <c r="AI16" s="1310"/>
      <c r="AJ16" s="1310"/>
      <c r="AK16" s="1310"/>
      <c r="AL16" s="1310"/>
      <c r="AM16" s="1310"/>
      <c r="AN16" s="1310"/>
      <c r="AO16" s="1310"/>
      <c r="AP16" s="1310"/>
      <c r="AQ16" s="1310"/>
      <c r="AR16" s="1310"/>
      <c r="AS16" s="1310"/>
      <c r="AT16" s="1310"/>
      <c r="AU16" s="1310"/>
      <c r="AV16" s="1310"/>
      <c r="AW16" s="1310"/>
      <c r="AX16" s="1313">
        <v>1</v>
      </c>
      <c r="AY16" s="1313"/>
      <c r="AZ16" s="1310"/>
      <c r="BA16" s="1310"/>
      <c r="BB16" s="1310"/>
      <c r="BC16" s="1315"/>
      <c r="BD16" s="129">
        <f t="shared" si="0"/>
        <v>0</v>
      </c>
      <c r="BE16" s="162">
        <f t="shared" si="1"/>
        <v>2</v>
      </c>
      <c r="BF16" s="131">
        <f t="shared" si="2"/>
        <v>0</v>
      </c>
      <c r="BG16" s="132">
        <f t="shared" si="3"/>
        <v>0</v>
      </c>
      <c r="BH16" s="133">
        <f t="shared" si="4"/>
        <v>0.03</v>
      </c>
      <c r="BI16" s="257">
        <f t="shared" si="5"/>
        <v>0</v>
      </c>
    </row>
    <row r="17" spans="1:61" s="178" customFormat="1" ht="57.75" customHeight="1" thickBot="1" x14ac:dyDescent="0.25">
      <c r="A17" s="1262"/>
      <c r="B17" s="1325"/>
      <c r="C17" s="119" t="s">
        <v>476</v>
      </c>
      <c r="D17" s="96" t="s">
        <v>477</v>
      </c>
      <c r="E17" s="96" t="s">
        <v>478</v>
      </c>
      <c r="F17" s="176">
        <v>0.06</v>
      </c>
      <c r="G17" s="183" t="s">
        <v>202</v>
      </c>
      <c r="H17" s="1310"/>
      <c r="I17" s="1310"/>
      <c r="J17" s="1310"/>
      <c r="K17" s="1310"/>
      <c r="L17" s="1310"/>
      <c r="M17" s="1310"/>
      <c r="N17" s="1310"/>
      <c r="O17" s="1310"/>
      <c r="P17" s="1323">
        <v>0</v>
      </c>
      <c r="Q17" s="1323"/>
      <c r="R17" s="1313">
        <v>1</v>
      </c>
      <c r="S17" s="1313"/>
      <c r="T17" s="1310"/>
      <c r="U17" s="1310"/>
      <c r="V17" s="1324"/>
      <c r="W17" s="1324"/>
      <c r="X17" s="1310"/>
      <c r="Y17" s="1310"/>
      <c r="Z17" s="1310"/>
      <c r="AA17" s="1310"/>
      <c r="AB17" s="1310"/>
      <c r="AC17" s="1310"/>
      <c r="AD17" s="1313">
        <v>1</v>
      </c>
      <c r="AE17" s="1313"/>
      <c r="AF17" s="1310"/>
      <c r="AG17" s="1310"/>
      <c r="AH17" s="1310"/>
      <c r="AI17" s="1310"/>
      <c r="AJ17" s="1310"/>
      <c r="AK17" s="1310"/>
      <c r="AL17" s="1324"/>
      <c r="AM17" s="1324"/>
      <c r="AN17" s="1310"/>
      <c r="AO17" s="1310"/>
      <c r="AP17" s="1313">
        <v>1</v>
      </c>
      <c r="AQ17" s="1313"/>
      <c r="AR17" s="1310"/>
      <c r="AS17" s="1310"/>
      <c r="AT17" s="1310"/>
      <c r="AU17" s="1310"/>
      <c r="AV17" s="1310"/>
      <c r="AW17" s="1310"/>
      <c r="AX17" s="1313">
        <v>1</v>
      </c>
      <c r="AY17" s="1313"/>
      <c r="AZ17" s="1310"/>
      <c r="BA17" s="1310"/>
      <c r="BB17" s="1310"/>
      <c r="BC17" s="1315"/>
      <c r="BD17" s="129">
        <f t="shared" si="0"/>
        <v>0</v>
      </c>
      <c r="BE17" s="162">
        <f t="shared" si="1"/>
        <v>4</v>
      </c>
      <c r="BF17" s="131">
        <f t="shared" si="2"/>
        <v>0</v>
      </c>
      <c r="BG17" s="132">
        <f t="shared" si="3"/>
        <v>0</v>
      </c>
      <c r="BH17" s="133">
        <f t="shared" si="4"/>
        <v>0.06</v>
      </c>
      <c r="BI17" s="257">
        <f t="shared" si="5"/>
        <v>1.4999999999999999E-2</v>
      </c>
    </row>
    <row r="18" spans="1:61" s="178" customFormat="1" ht="43.5" customHeight="1" thickBot="1" x14ac:dyDescent="0.25">
      <c r="A18" s="1262"/>
      <c r="B18" s="1325"/>
      <c r="C18" s="119" t="s">
        <v>479</v>
      </c>
      <c r="D18" s="96" t="s">
        <v>480</v>
      </c>
      <c r="E18" s="96" t="s">
        <v>481</v>
      </c>
      <c r="F18" s="176">
        <v>0.03</v>
      </c>
      <c r="G18" s="183" t="s">
        <v>356</v>
      </c>
      <c r="H18" s="1310"/>
      <c r="I18" s="1310"/>
      <c r="J18" s="1310"/>
      <c r="K18" s="1310"/>
      <c r="L18" s="1310"/>
      <c r="M18" s="1310"/>
      <c r="N18" s="1310"/>
      <c r="O18" s="1310"/>
      <c r="P18" s="1310"/>
      <c r="Q18" s="1310"/>
      <c r="R18" s="1310"/>
      <c r="S18" s="1310"/>
      <c r="T18" s="1310"/>
      <c r="U18" s="1310"/>
      <c r="V18" s="1324"/>
      <c r="W18" s="1324"/>
      <c r="X18" s="1310"/>
      <c r="Y18" s="1310"/>
      <c r="Z18" s="1310"/>
      <c r="AA18" s="1310"/>
      <c r="AB18" s="1310"/>
      <c r="AC18" s="1310"/>
      <c r="AD18" s="1313">
        <v>1</v>
      </c>
      <c r="AE18" s="1313"/>
      <c r="AF18" s="1310"/>
      <c r="AG18" s="1310"/>
      <c r="AH18" s="1310"/>
      <c r="AI18" s="1310"/>
      <c r="AJ18" s="1310"/>
      <c r="AK18" s="1310"/>
      <c r="AL18" s="1324"/>
      <c r="AM18" s="1324"/>
      <c r="AN18" s="1310"/>
      <c r="AO18" s="1310"/>
      <c r="AP18" s="1313">
        <v>1</v>
      </c>
      <c r="AQ18" s="1313"/>
      <c r="AR18" s="1310"/>
      <c r="AS18" s="1310"/>
      <c r="AT18" s="1310"/>
      <c r="AU18" s="1310"/>
      <c r="AV18" s="1310"/>
      <c r="AW18" s="1310"/>
      <c r="AX18" s="1310"/>
      <c r="AY18" s="1310"/>
      <c r="AZ18" s="1310"/>
      <c r="BA18" s="1310"/>
      <c r="BB18" s="1310"/>
      <c r="BC18" s="1315"/>
      <c r="BD18" s="129">
        <f t="shared" si="0"/>
        <v>0</v>
      </c>
      <c r="BE18" s="162">
        <f t="shared" si="1"/>
        <v>2</v>
      </c>
      <c r="BF18" s="131">
        <f t="shared" si="2"/>
        <v>0</v>
      </c>
      <c r="BG18" s="132">
        <f t="shared" si="3"/>
        <v>0</v>
      </c>
      <c r="BH18" s="133">
        <f t="shared" si="4"/>
        <v>0.03</v>
      </c>
      <c r="BI18" s="257">
        <f t="shared" si="5"/>
        <v>0</v>
      </c>
    </row>
    <row r="19" spans="1:61" s="178" customFormat="1" ht="43.5" customHeight="1" thickBot="1" x14ac:dyDescent="0.25">
      <c r="A19" s="1262"/>
      <c r="B19" s="1325"/>
      <c r="C19" s="93" t="s">
        <v>482</v>
      </c>
      <c r="D19" s="93" t="s">
        <v>483</v>
      </c>
      <c r="E19" s="93" t="s">
        <v>484</v>
      </c>
      <c r="F19" s="176">
        <v>0.08</v>
      </c>
      <c r="G19" s="183" t="s">
        <v>485</v>
      </c>
      <c r="H19" s="1310"/>
      <c r="I19" s="1310"/>
      <c r="J19" s="1310"/>
      <c r="K19" s="1310"/>
      <c r="L19" s="1310"/>
      <c r="M19" s="1310"/>
      <c r="N19" s="1310"/>
      <c r="O19" s="1310"/>
      <c r="P19" s="1310"/>
      <c r="Q19" s="1310"/>
      <c r="R19" s="1310"/>
      <c r="S19" s="1310"/>
      <c r="T19" s="1310"/>
      <c r="U19" s="1310"/>
      <c r="V19" s="1313">
        <v>2</v>
      </c>
      <c r="W19" s="1313"/>
      <c r="X19" s="1310"/>
      <c r="Y19" s="1310"/>
      <c r="Z19" s="1313">
        <v>2</v>
      </c>
      <c r="AA19" s="1313"/>
      <c r="AB19" s="1310"/>
      <c r="AC19" s="1310"/>
      <c r="AD19" s="1313">
        <v>2</v>
      </c>
      <c r="AE19" s="1313"/>
      <c r="AF19" s="1310"/>
      <c r="AG19" s="1310"/>
      <c r="AH19" s="1313">
        <v>2</v>
      </c>
      <c r="AI19" s="1313"/>
      <c r="AJ19" s="1310"/>
      <c r="AK19" s="1310"/>
      <c r="AL19" s="1313">
        <v>2</v>
      </c>
      <c r="AM19" s="1313"/>
      <c r="AN19" s="1310"/>
      <c r="AO19" s="1310"/>
      <c r="AP19" s="1313">
        <v>2</v>
      </c>
      <c r="AQ19" s="1313"/>
      <c r="AR19" s="1310"/>
      <c r="AS19" s="1310"/>
      <c r="AT19" s="1313">
        <v>2</v>
      </c>
      <c r="AU19" s="1313"/>
      <c r="AV19" s="1310"/>
      <c r="AW19" s="1310"/>
      <c r="AX19" s="1313">
        <v>1</v>
      </c>
      <c r="AY19" s="1313"/>
      <c r="AZ19" s="1310"/>
      <c r="BA19" s="1310"/>
      <c r="BB19" s="1310"/>
      <c r="BC19" s="1315"/>
      <c r="BD19" s="129">
        <f t="shared" si="0"/>
        <v>0</v>
      </c>
      <c r="BE19" s="162">
        <f t="shared" si="1"/>
        <v>15</v>
      </c>
      <c r="BF19" s="131">
        <f t="shared" si="2"/>
        <v>0</v>
      </c>
      <c r="BG19" s="132">
        <f t="shared" si="3"/>
        <v>0</v>
      </c>
      <c r="BH19" s="133">
        <f t="shared" si="4"/>
        <v>0.08</v>
      </c>
      <c r="BI19" s="257">
        <f t="shared" si="5"/>
        <v>0</v>
      </c>
    </row>
    <row r="20" spans="1:61" s="178" customFormat="1" ht="56.25" customHeight="1" thickBot="1" x14ac:dyDescent="0.25">
      <c r="A20" s="1262" t="s">
        <v>486</v>
      </c>
      <c r="B20" s="1325">
        <v>0.2</v>
      </c>
      <c r="C20" s="119" t="s">
        <v>487</v>
      </c>
      <c r="D20" s="96" t="s">
        <v>488</v>
      </c>
      <c r="E20" s="96" t="s">
        <v>489</v>
      </c>
      <c r="F20" s="176">
        <v>0.05</v>
      </c>
      <c r="G20" s="183" t="s">
        <v>207</v>
      </c>
      <c r="H20" s="1310"/>
      <c r="I20" s="1310"/>
      <c r="J20" s="1310"/>
      <c r="K20" s="1310"/>
      <c r="L20" s="1323">
        <v>1</v>
      </c>
      <c r="M20" s="1323"/>
      <c r="N20" s="1313">
        <v>1</v>
      </c>
      <c r="O20" s="1313"/>
      <c r="P20" s="1323">
        <v>1</v>
      </c>
      <c r="Q20" s="1323"/>
      <c r="R20" s="1310"/>
      <c r="S20" s="1310"/>
      <c r="T20" s="1310"/>
      <c r="U20" s="1310"/>
      <c r="V20" s="1310"/>
      <c r="W20" s="1310"/>
      <c r="X20" s="1310"/>
      <c r="Y20" s="1310"/>
      <c r="Z20" s="1313">
        <v>1</v>
      </c>
      <c r="AA20" s="1313"/>
      <c r="AB20" s="1310"/>
      <c r="AC20" s="1310"/>
      <c r="AD20" s="1310"/>
      <c r="AE20" s="1310"/>
      <c r="AF20" s="1310"/>
      <c r="AG20" s="1310"/>
      <c r="AH20" s="1313">
        <v>1</v>
      </c>
      <c r="AI20" s="1313"/>
      <c r="AJ20" s="1310"/>
      <c r="AK20" s="1310"/>
      <c r="AL20" s="1310"/>
      <c r="AM20" s="1310"/>
      <c r="AN20" s="1310"/>
      <c r="AO20" s="1310"/>
      <c r="AP20" s="1313">
        <v>1</v>
      </c>
      <c r="AQ20" s="1313"/>
      <c r="AR20" s="1310"/>
      <c r="AS20" s="1310"/>
      <c r="AT20" s="1313">
        <v>1</v>
      </c>
      <c r="AU20" s="1313"/>
      <c r="AV20" s="1310"/>
      <c r="AW20" s="1310"/>
      <c r="AX20" s="1310"/>
      <c r="AY20" s="1310"/>
      <c r="AZ20" s="1310"/>
      <c r="BA20" s="1310"/>
      <c r="BB20" s="1313">
        <v>1</v>
      </c>
      <c r="BC20" s="1314"/>
      <c r="BD20" s="129">
        <f t="shared" si="0"/>
        <v>2</v>
      </c>
      <c r="BE20" s="162">
        <f t="shared" si="1"/>
        <v>6</v>
      </c>
      <c r="BF20" s="131">
        <f t="shared" si="2"/>
        <v>0.33333333333333331</v>
      </c>
      <c r="BG20" s="132">
        <f t="shared" si="3"/>
        <v>1.6666666666666666E-2</v>
      </c>
      <c r="BH20" s="133">
        <f t="shared" si="4"/>
        <v>0.05</v>
      </c>
      <c r="BI20" s="257">
        <f t="shared" si="5"/>
        <v>8.3333333333333332E-3</v>
      </c>
    </row>
    <row r="21" spans="1:61" s="178" customFormat="1" ht="57.75" customHeight="1" thickBot="1" x14ac:dyDescent="0.25">
      <c r="A21" s="1262"/>
      <c r="B21" s="1325"/>
      <c r="C21" s="119" t="s">
        <v>490</v>
      </c>
      <c r="D21" s="96" t="s">
        <v>491</v>
      </c>
      <c r="E21" s="96" t="s">
        <v>492</v>
      </c>
      <c r="F21" s="176">
        <v>0.05</v>
      </c>
      <c r="G21" s="183" t="s">
        <v>211</v>
      </c>
      <c r="H21" s="1323">
        <v>44</v>
      </c>
      <c r="I21" s="1323"/>
      <c r="J21" s="1313">
        <v>44</v>
      </c>
      <c r="K21" s="1313"/>
      <c r="L21" s="1323">
        <v>55</v>
      </c>
      <c r="M21" s="1323"/>
      <c r="N21" s="1313">
        <v>37</v>
      </c>
      <c r="O21" s="1313"/>
      <c r="P21" s="1323">
        <v>36</v>
      </c>
      <c r="Q21" s="1323"/>
      <c r="R21" s="1313">
        <v>37</v>
      </c>
      <c r="S21" s="1313"/>
      <c r="T21" s="1310"/>
      <c r="U21" s="1310"/>
      <c r="V21" s="1313">
        <v>37</v>
      </c>
      <c r="W21" s="1313"/>
      <c r="X21" s="1310"/>
      <c r="Y21" s="1310"/>
      <c r="Z21" s="1313">
        <v>37</v>
      </c>
      <c r="AA21" s="1313"/>
      <c r="AB21" s="1310"/>
      <c r="AC21" s="1310"/>
      <c r="AD21" s="1313">
        <v>37</v>
      </c>
      <c r="AE21" s="1313"/>
      <c r="AF21" s="1310"/>
      <c r="AG21" s="1310"/>
      <c r="AH21" s="1313">
        <v>37</v>
      </c>
      <c r="AI21" s="1313"/>
      <c r="AJ21" s="1310"/>
      <c r="AK21" s="1310"/>
      <c r="AL21" s="1313">
        <v>37</v>
      </c>
      <c r="AM21" s="1313"/>
      <c r="AN21" s="1310"/>
      <c r="AO21" s="1310"/>
      <c r="AP21" s="1313">
        <v>37</v>
      </c>
      <c r="AQ21" s="1313"/>
      <c r="AR21" s="1310"/>
      <c r="AS21" s="1310"/>
      <c r="AT21" s="1313">
        <v>37</v>
      </c>
      <c r="AU21" s="1313"/>
      <c r="AV21" s="1310"/>
      <c r="AW21" s="1310"/>
      <c r="AX21" s="1313">
        <v>37</v>
      </c>
      <c r="AY21" s="1313"/>
      <c r="AZ21" s="1310"/>
      <c r="BA21" s="1310"/>
      <c r="BB21" s="1313">
        <v>36</v>
      </c>
      <c r="BC21" s="1314"/>
      <c r="BD21" s="129">
        <f t="shared" si="0"/>
        <v>135</v>
      </c>
      <c r="BE21" s="162">
        <f t="shared" si="1"/>
        <v>450</v>
      </c>
      <c r="BF21" s="131">
        <f t="shared" si="2"/>
        <v>0.3</v>
      </c>
      <c r="BG21" s="132">
        <f t="shared" si="3"/>
        <v>1.4999999999999999E-2</v>
      </c>
      <c r="BH21" s="133">
        <f t="shared" si="4"/>
        <v>0.05</v>
      </c>
      <c r="BI21" s="257">
        <f t="shared" si="5"/>
        <v>1.3111111111111113E-2</v>
      </c>
    </row>
    <row r="22" spans="1:61" s="178" customFormat="1" ht="57.75" customHeight="1" thickBot="1" x14ac:dyDescent="0.25">
      <c r="A22" s="1262"/>
      <c r="B22" s="1325"/>
      <c r="C22" s="119" t="s">
        <v>493</v>
      </c>
      <c r="D22" s="96" t="s">
        <v>494</v>
      </c>
      <c r="E22" s="96" t="s">
        <v>495</v>
      </c>
      <c r="F22" s="176">
        <v>0.03</v>
      </c>
      <c r="G22" s="183" t="s">
        <v>217</v>
      </c>
      <c r="H22" s="1323">
        <v>1</v>
      </c>
      <c r="I22" s="1323"/>
      <c r="J22" s="1313">
        <v>1</v>
      </c>
      <c r="K22" s="1313"/>
      <c r="L22" s="1323">
        <v>2</v>
      </c>
      <c r="M22" s="1323"/>
      <c r="N22" s="1313">
        <v>2</v>
      </c>
      <c r="O22" s="1313"/>
      <c r="P22" s="1323">
        <v>2</v>
      </c>
      <c r="Q22" s="1323"/>
      <c r="R22" s="1313">
        <v>2</v>
      </c>
      <c r="S22" s="1313"/>
      <c r="T22" s="1310"/>
      <c r="U22" s="1310"/>
      <c r="V22" s="1313">
        <v>2</v>
      </c>
      <c r="W22" s="1313"/>
      <c r="X22" s="1310"/>
      <c r="Y22" s="1310"/>
      <c r="Z22" s="1313">
        <v>3</v>
      </c>
      <c r="AA22" s="1313"/>
      <c r="AB22" s="1310"/>
      <c r="AC22" s="1310"/>
      <c r="AD22" s="1313">
        <v>2</v>
      </c>
      <c r="AE22" s="1313"/>
      <c r="AF22" s="1310"/>
      <c r="AG22" s="1310"/>
      <c r="AH22" s="1313">
        <v>3</v>
      </c>
      <c r="AI22" s="1313"/>
      <c r="AJ22" s="1310"/>
      <c r="AK22" s="1310"/>
      <c r="AL22" s="1313">
        <v>2</v>
      </c>
      <c r="AM22" s="1313"/>
      <c r="AN22" s="1310"/>
      <c r="AO22" s="1310"/>
      <c r="AP22" s="1313">
        <v>2</v>
      </c>
      <c r="AQ22" s="1313"/>
      <c r="AR22" s="1310"/>
      <c r="AS22" s="1310"/>
      <c r="AT22" s="1313">
        <v>2</v>
      </c>
      <c r="AU22" s="1313"/>
      <c r="AV22" s="1310"/>
      <c r="AW22" s="1310"/>
      <c r="AX22" s="1313">
        <v>2</v>
      </c>
      <c r="AY22" s="1313"/>
      <c r="AZ22" s="1310"/>
      <c r="BA22" s="1310"/>
      <c r="BB22" s="1313">
        <v>2</v>
      </c>
      <c r="BC22" s="1314"/>
      <c r="BD22" s="129">
        <f t="shared" si="0"/>
        <v>5</v>
      </c>
      <c r="BE22" s="162">
        <f t="shared" si="1"/>
        <v>25</v>
      </c>
      <c r="BF22" s="131">
        <f t="shared" si="2"/>
        <v>0.2</v>
      </c>
      <c r="BG22" s="132">
        <f t="shared" si="3"/>
        <v>6.0000000000000001E-3</v>
      </c>
      <c r="BH22" s="133">
        <f t="shared" si="4"/>
        <v>0.03</v>
      </c>
      <c r="BI22" s="257">
        <f t="shared" si="5"/>
        <v>6.0000000000000001E-3</v>
      </c>
    </row>
    <row r="23" spans="1:61" s="178" customFormat="1" ht="51.75" customHeight="1" thickBot="1" x14ac:dyDescent="0.25">
      <c r="A23" s="1262"/>
      <c r="B23" s="1325"/>
      <c r="C23" s="94" t="s">
        <v>496</v>
      </c>
      <c r="D23" s="93" t="s">
        <v>497</v>
      </c>
      <c r="E23" s="93" t="s">
        <v>498</v>
      </c>
      <c r="F23" s="176">
        <v>7.0000000000000007E-2</v>
      </c>
      <c r="G23" s="183" t="s">
        <v>499</v>
      </c>
      <c r="H23" s="1323">
        <v>1</v>
      </c>
      <c r="I23" s="1323"/>
      <c r="J23" s="1313">
        <v>1</v>
      </c>
      <c r="K23" s="1313"/>
      <c r="L23" s="1323">
        <v>14</v>
      </c>
      <c r="M23" s="1323"/>
      <c r="N23" s="1313">
        <v>3</v>
      </c>
      <c r="O23" s="1313"/>
      <c r="P23" s="1323">
        <v>3</v>
      </c>
      <c r="Q23" s="1323"/>
      <c r="R23" s="1313">
        <v>5</v>
      </c>
      <c r="S23" s="1313"/>
      <c r="T23" s="1310"/>
      <c r="U23" s="1310"/>
      <c r="V23" s="1313">
        <v>4</v>
      </c>
      <c r="W23" s="1313"/>
      <c r="X23" s="1310"/>
      <c r="Y23" s="1310"/>
      <c r="Z23" s="1313">
        <v>5</v>
      </c>
      <c r="AA23" s="1313"/>
      <c r="AB23" s="1310"/>
      <c r="AC23" s="1310"/>
      <c r="AD23" s="1313">
        <v>4</v>
      </c>
      <c r="AE23" s="1313"/>
      <c r="AF23" s="1310"/>
      <c r="AG23" s="1310"/>
      <c r="AH23" s="1313">
        <v>5</v>
      </c>
      <c r="AI23" s="1313"/>
      <c r="AJ23" s="1310"/>
      <c r="AK23" s="1310"/>
      <c r="AL23" s="1313">
        <v>4</v>
      </c>
      <c r="AM23" s="1313"/>
      <c r="AN23" s="1310"/>
      <c r="AO23" s="1310"/>
      <c r="AP23" s="1313">
        <v>5</v>
      </c>
      <c r="AQ23" s="1313"/>
      <c r="AR23" s="1310"/>
      <c r="AS23" s="1310"/>
      <c r="AT23" s="1313">
        <v>5</v>
      </c>
      <c r="AU23" s="1313"/>
      <c r="AV23" s="1310"/>
      <c r="AW23" s="1310"/>
      <c r="AX23" s="1313">
        <v>5</v>
      </c>
      <c r="AY23" s="1313"/>
      <c r="AZ23" s="1310"/>
      <c r="BA23" s="1310"/>
      <c r="BB23" s="1313">
        <v>4</v>
      </c>
      <c r="BC23" s="1314"/>
      <c r="BD23" s="129">
        <f t="shared" si="0"/>
        <v>18</v>
      </c>
      <c r="BE23" s="162">
        <f t="shared" si="1"/>
        <v>50</v>
      </c>
      <c r="BF23" s="131">
        <f t="shared" si="2"/>
        <v>0.36</v>
      </c>
      <c r="BG23" s="132">
        <f t="shared" si="3"/>
        <v>2.52E-2</v>
      </c>
      <c r="BH23" s="133">
        <f t="shared" si="4"/>
        <v>7.0000000000000007E-2</v>
      </c>
      <c r="BI23" s="257">
        <f t="shared" si="5"/>
        <v>1.26E-2</v>
      </c>
    </row>
    <row r="24" spans="1:61" s="187" customFormat="1" ht="114.75" customHeight="1" thickBot="1" x14ac:dyDescent="0.25">
      <c r="A24" s="46" t="s">
        <v>500</v>
      </c>
      <c r="B24" s="144">
        <v>0.1</v>
      </c>
      <c r="C24" s="94" t="s">
        <v>501</v>
      </c>
      <c r="D24" s="93" t="s">
        <v>502</v>
      </c>
      <c r="E24" s="93" t="s">
        <v>503</v>
      </c>
      <c r="F24" s="176">
        <v>0.1</v>
      </c>
      <c r="G24" s="186" t="s">
        <v>222</v>
      </c>
      <c r="H24" s="1321">
        <v>0.2</v>
      </c>
      <c r="I24" s="1321"/>
      <c r="J24" s="1311">
        <v>0.2</v>
      </c>
      <c r="K24" s="1318"/>
      <c r="L24" s="1308"/>
      <c r="M24" s="1308"/>
      <c r="N24" s="1309"/>
      <c r="O24" s="1308"/>
      <c r="P24" s="1322">
        <v>0</v>
      </c>
      <c r="Q24" s="1322"/>
      <c r="R24" s="1311">
        <v>0.2</v>
      </c>
      <c r="S24" s="1318"/>
      <c r="T24" s="1308"/>
      <c r="U24" s="1308"/>
      <c r="V24" s="1309"/>
      <c r="W24" s="1308"/>
      <c r="X24" s="1308"/>
      <c r="Y24" s="1308"/>
      <c r="Z24" s="1319"/>
      <c r="AA24" s="1320"/>
      <c r="AB24" s="1308"/>
      <c r="AC24" s="1308"/>
      <c r="AD24" s="1311">
        <v>0.2</v>
      </c>
      <c r="AE24" s="1318"/>
      <c r="AF24" s="1308"/>
      <c r="AG24" s="1308"/>
      <c r="AH24" s="1316"/>
      <c r="AI24" s="1317"/>
      <c r="AJ24" s="1308"/>
      <c r="AK24" s="1308"/>
      <c r="AL24" s="1309"/>
      <c r="AM24" s="1308"/>
      <c r="AN24" s="1308"/>
      <c r="AO24" s="1308"/>
      <c r="AP24" s="1311">
        <v>0.2</v>
      </c>
      <c r="AQ24" s="1318"/>
      <c r="AR24" s="1308"/>
      <c r="AS24" s="1308"/>
      <c r="AT24" s="1309"/>
      <c r="AU24" s="1308"/>
      <c r="AV24" s="1308"/>
      <c r="AW24" s="1308"/>
      <c r="AX24" s="1309"/>
      <c r="AY24" s="1308"/>
      <c r="AZ24" s="1310"/>
      <c r="BA24" s="1310"/>
      <c r="BB24" s="1311">
        <v>0.2</v>
      </c>
      <c r="BC24" s="1312"/>
      <c r="BD24" s="263">
        <f t="shared" si="0"/>
        <v>0.2</v>
      </c>
      <c r="BE24" s="149">
        <f t="shared" si="1"/>
        <v>1</v>
      </c>
      <c r="BF24" s="131">
        <f t="shared" si="2"/>
        <v>0.2</v>
      </c>
      <c r="BG24" s="132">
        <f t="shared" si="3"/>
        <v>2.0000000000000004E-2</v>
      </c>
      <c r="BH24" s="133">
        <f t="shared" si="4"/>
        <v>0.1</v>
      </c>
      <c r="BI24" s="257">
        <f t="shared" si="5"/>
        <v>4.0000000000000008E-2</v>
      </c>
    </row>
    <row r="25" spans="1:61" ht="36.75" customHeight="1" thickBot="1" x14ac:dyDescent="0.25">
      <c r="A25" s="134"/>
      <c r="B25" s="188"/>
      <c r="C25" s="134"/>
      <c r="D25" s="134"/>
      <c r="E25" s="134"/>
      <c r="F25" s="134"/>
      <c r="BG25" s="280">
        <f>SUM(BG5:BG24)</f>
        <v>0.19207899274463885</v>
      </c>
      <c r="BI25" s="259">
        <f>SUM(BI5:BI24)</f>
        <v>0.23091916548039979</v>
      </c>
    </row>
    <row r="26" spans="1:61" ht="26.25" thickBot="1" x14ac:dyDescent="0.25">
      <c r="A26" s="134"/>
      <c r="B26" s="188"/>
      <c r="C26" s="876" t="s">
        <v>71</v>
      </c>
      <c r="D26" s="877" t="s">
        <v>73</v>
      </c>
      <c r="E26" s="877" t="s">
        <v>72</v>
      </c>
      <c r="F26" s="134"/>
      <c r="BF26" s="1374" t="s">
        <v>1437</v>
      </c>
      <c r="BG26" s="1375"/>
    </row>
    <row r="27" spans="1:61" ht="39" customHeight="1" x14ac:dyDescent="0.2">
      <c r="A27" s="134"/>
      <c r="B27" s="188"/>
      <c r="C27" s="25" t="str">
        <f>A5</f>
        <v xml:space="preserve">1. Difundir la cultura de la asociatividad solidaria, a través de medios de comunicación y organización de eventos </v>
      </c>
      <c r="D27" s="86">
        <f>B5</f>
        <v>0.2</v>
      </c>
      <c r="E27" s="26">
        <f>BG5+BG6+BG7+BG8+BG9</f>
        <v>2.5755183220829314E-2</v>
      </c>
      <c r="F27" s="134"/>
      <c r="BF27" s="854" t="s">
        <v>830</v>
      </c>
      <c r="BG27" s="855">
        <f>BI25</f>
        <v>0.23091916548039979</v>
      </c>
    </row>
    <row r="28" spans="1:61" ht="39" customHeight="1" x14ac:dyDescent="0.2">
      <c r="A28" s="134"/>
      <c r="B28" s="188"/>
      <c r="C28" s="25" t="str">
        <f>A10</f>
        <v>2.  Diseñar e implementar una estrategia  digital para fortalecer la difusión de la gestión institucional a través de plataformas virtuales de la Unidad</v>
      </c>
      <c r="D28" s="86">
        <f>B10</f>
        <v>0.3</v>
      </c>
      <c r="E28" s="26">
        <f>BG10+BG11+BG12+BG13+BG14+BG15</f>
        <v>8.3457142857142855E-2</v>
      </c>
      <c r="F28" s="134"/>
      <c r="BF28" s="336" t="s">
        <v>831</v>
      </c>
      <c r="BG28" s="336"/>
    </row>
    <row r="29" spans="1:61" ht="39" customHeight="1" x14ac:dyDescent="0.2">
      <c r="A29" s="134"/>
      <c r="B29" s="188"/>
      <c r="C29" s="25" t="str">
        <f>A16</f>
        <v>3. Diseñar e implementar una estrategia audiovisual para fortalecer la difusión de la gestión institucional</v>
      </c>
      <c r="D29" s="86">
        <f>B16</f>
        <v>0.2</v>
      </c>
      <c r="E29" s="26">
        <f>BG16+BG17+BG18+BG19</f>
        <v>0</v>
      </c>
      <c r="F29" s="134"/>
      <c r="BF29" s="336" t="s">
        <v>832</v>
      </c>
      <c r="BG29" s="336"/>
    </row>
    <row r="30" spans="1:61" ht="39" customHeight="1" x14ac:dyDescent="0.2">
      <c r="A30" s="134"/>
      <c r="B30" s="188"/>
      <c r="C30" s="25" t="str">
        <f>A20</f>
        <v>4. Diseñar e implementar una estrategia  de comunicación interna para fortalecer  la divulgación y conocimiento de los procesos internos de la Unidad</v>
      </c>
      <c r="D30" s="86">
        <f>B20</f>
        <v>0.2</v>
      </c>
      <c r="E30" s="26">
        <f>BG20+BG21+BG22+BG23</f>
        <v>6.2866666666666654E-2</v>
      </c>
      <c r="F30" s="134"/>
      <c r="BF30" s="336" t="s">
        <v>833</v>
      </c>
      <c r="BG30" s="336"/>
    </row>
    <row r="31" spans="1:61" ht="39" customHeight="1" x14ac:dyDescent="0.2">
      <c r="A31" s="134"/>
      <c r="B31" s="188"/>
      <c r="C31" s="25" t="str">
        <f>A24</f>
        <v>5. Realizar las actividades responsabilidad del Grupo de Comunicaciones y Prensa para el Plan Anticorrupción y de Atención al Ciudadano</v>
      </c>
      <c r="D31" s="86">
        <f>B24</f>
        <v>0.1</v>
      </c>
      <c r="E31" s="26">
        <f>BG24</f>
        <v>2.0000000000000004E-2</v>
      </c>
      <c r="F31" s="134"/>
    </row>
    <row r="32" spans="1:61" x14ac:dyDescent="0.2">
      <c r="C32" s="878" t="s">
        <v>66</v>
      </c>
      <c r="D32" s="879">
        <f>SUM(D27:D31)</f>
        <v>0.99999999999999989</v>
      </c>
      <c r="E32" s="879">
        <f>SUM(E27:E31)</f>
        <v>0.19207899274463885</v>
      </c>
    </row>
    <row r="41" spans="3:5" ht="25.5" x14ac:dyDescent="0.2">
      <c r="C41" s="876" t="s">
        <v>71</v>
      </c>
      <c r="D41" s="877" t="s">
        <v>73</v>
      </c>
      <c r="E41" s="877" t="s">
        <v>72</v>
      </c>
    </row>
    <row r="42" spans="3:5" ht="38.25" x14ac:dyDescent="0.2">
      <c r="C42" s="25" t="str">
        <f>C27</f>
        <v xml:space="preserve">1. Difundir la cultura de la asociatividad solidaria, a través de medios de comunicación y organización de eventos </v>
      </c>
      <c r="D42" s="269">
        <f>BI5+BI6+BI7+BI8+BI9</f>
        <v>6.8439006750241074E-2</v>
      </c>
      <c r="E42" s="269">
        <f t="shared" ref="E42" si="6">E27</f>
        <v>2.5755183220829314E-2</v>
      </c>
    </row>
    <row r="43" spans="3:5" ht="38.25" x14ac:dyDescent="0.2">
      <c r="C43" s="25" t="str">
        <f t="shared" ref="C43:E46" si="7">C28</f>
        <v>2.  Diseñar e implementar una estrategia  digital para fortalecer la difusión de la gestión institucional a través de plataformas virtuales de la Unidad</v>
      </c>
      <c r="D43" s="269">
        <f>BI10+BI11+BI12+BI13+BI14+BI15</f>
        <v>6.7435714285714279E-2</v>
      </c>
      <c r="E43" s="269">
        <f t="shared" si="7"/>
        <v>8.3457142857142855E-2</v>
      </c>
    </row>
    <row r="44" spans="3:5" ht="25.5" x14ac:dyDescent="0.2">
      <c r="C44" s="25" t="str">
        <f t="shared" si="7"/>
        <v>3. Diseñar e implementar una estrategia audiovisual para fortalecer la difusión de la gestión institucional</v>
      </c>
      <c r="D44" s="269">
        <f>BI16+BI17+BI18+BI19</f>
        <v>1.4999999999999999E-2</v>
      </c>
      <c r="E44" s="269">
        <f t="shared" si="7"/>
        <v>0</v>
      </c>
    </row>
    <row r="45" spans="3:5" ht="38.25" x14ac:dyDescent="0.2">
      <c r="C45" s="25" t="str">
        <f t="shared" si="7"/>
        <v>4. Diseñar e implementar una estrategia  de comunicación interna para fortalecer  la divulgación y conocimiento de los procesos internos de la Unidad</v>
      </c>
      <c r="D45" s="269">
        <f>BI20+BI21+BI22+BI23</f>
        <v>4.0044444444444445E-2</v>
      </c>
      <c r="E45" s="269">
        <f t="shared" si="7"/>
        <v>6.2866666666666654E-2</v>
      </c>
    </row>
    <row r="46" spans="3:5" ht="38.25" x14ac:dyDescent="0.2">
      <c r="C46" s="25" t="str">
        <f t="shared" si="7"/>
        <v>5. Realizar las actividades responsabilidad del Grupo de Comunicaciones y Prensa para el Plan Anticorrupción y de Atención al Ciudadano</v>
      </c>
      <c r="D46" s="269">
        <f>BI24</f>
        <v>4.0000000000000008E-2</v>
      </c>
      <c r="E46" s="269">
        <f t="shared" si="7"/>
        <v>2.0000000000000004E-2</v>
      </c>
    </row>
    <row r="47" spans="3:5" x14ac:dyDescent="0.2">
      <c r="C47" s="878" t="s">
        <v>66</v>
      </c>
      <c r="D47" s="879">
        <f>SUM(D42:D46)</f>
        <v>0.23091916548039979</v>
      </c>
      <c r="E47" s="879">
        <f>SUM(E42:E46)</f>
        <v>0.19207899274463885</v>
      </c>
    </row>
  </sheetData>
  <mergeCells count="537">
    <mergeCell ref="BF26:BG26"/>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BB4:BC4"/>
    <mergeCell ref="AF4:AG4"/>
    <mergeCell ref="AH4:AI4"/>
    <mergeCell ref="AJ4:AK4"/>
    <mergeCell ref="AL4:AM4"/>
    <mergeCell ref="AP4:AQ4"/>
    <mergeCell ref="T4:U4"/>
    <mergeCell ref="V4:W4"/>
    <mergeCell ref="X4:Y4"/>
    <mergeCell ref="Z4:AA4"/>
    <mergeCell ref="AB4:AC4"/>
    <mergeCell ref="AD4:AE4"/>
    <mergeCell ref="A5:A9"/>
    <mergeCell ref="B5:B9"/>
    <mergeCell ref="P5:Q5"/>
    <mergeCell ref="R5:S5"/>
    <mergeCell ref="T6:U6"/>
    <mergeCell ref="V6:W6"/>
    <mergeCell ref="X6:Y6"/>
    <mergeCell ref="Z6:AA6"/>
    <mergeCell ref="AB6:AC6"/>
    <mergeCell ref="AD6:AE6"/>
    <mergeCell ref="H6:I6"/>
    <mergeCell ref="J6:K6"/>
    <mergeCell ref="L6:M6"/>
    <mergeCell ref="N6:O6"/>
    <mergeCell ref="P6:Q6"/>
    <mergeCell ref="R6:S6"/>
    <mergeCell ref="N5:O5"/>
    <mergeCell ref="A10:A15"/>
    <mergeCell ref="B10:B15"/>
    <mergeCell ref="AR4:AS4"/>
    <mergeCell ref="AT4:AU4"/>
    <mergeCell ref="AV4:AW4"/>
    <mergeCell ref="AX4:AY4"/>
    <mergeCell ref="AZ4:BA4"/>
    <mergeCell ref="G3:G4"/>
    <mergeCell ref="C3:C4"/>
    <mergeCell ref="D3:D4"/>
    <mergeCell ref="E3:E4"/>
    <mergeCell ref="F3:F4"/>
    <mergeCell ref="A3:A4"/>
    <mergeCell ref="B3:B4"/>
    <mergeCell ref="T5:U5"/>
    <mergeCell ref="V5:W5"/>
    <mergeCell ref="X5:Y5"/>
    <mergeCell ref="Z5:AA5"/>
    <mergeCell ref="AB5:AC5"/>
    <mergeCell ref="AD5:AE5"/>
    <mergeCell ref="H5:I5"/>
    <mergeCell ref="J5:K5"/>
    <mergeCell ref="L5:M5"/>
    <mergeCell ref="AN4:AO4"/>
    <mergeCell ref="AR5:AS5"/>
    <mergeCell ref="AT5:AU5"/>
    <mergeCell ref="AV5:AW5"/>
    <mergeCell ref="AX5:AY5"/>
    <mergeCell ref="AZ5:BA5"/>
    <mergeCell ref="BB5:BC5"/>
    <mergeCell ref="AF5:AG5"/>
    <mergeCell ref="AH5:AI5"/>
    <mergeCell ref="AJ5:AK5"/>
    <mergeCell ref="AL5:AM5"/>
    <mergeCell ref="AN5:AO5"/>
    <mergeCell ref="AP5:AQ5"/>
    <mergeCell ref="AR6:AS6"/>
    <mergeCell ref="AT6:AU6"/>
    <mergeCell ref="AV6:AW6"/>
    <mergeCell ref="AX6:AY6"/>
    <mergeCell ref="AZ6:BA6"/>
    <mergeCell ref="BB6:BC6"/>
    <mergeCell ref="AF6:AG6"/>
    <mergeCell ref="AH6:AI6"/>
    <mergeCell ref="AJ6:AK6"/>
    <mergeCell ref="AL6:AM6"/>
    <mergeCell ref="AN6:AO6"/>
    <mergeCell ref="AP6:AQ6"/>
    <mergeCell ref="V7:W7"/>
    <mergeCell ref="X7:Y7"/>
    <mergeCell ref="Z7:AA7"/>
    <mergeCell ref="AB7:AC7"/>
    <mergeCell ref="AD7:AE7"/>
    <mergeCell ref="H7:I7"/>
    <mergeCell ref="J7:K7"/>
    <mergeCell ref="L7:M7"/>
    <mergeCell ref="N7:O7"/>
    <mergeCell ref="P7:Q7"/>
    <mergeCell ref="R7:S7"/>
    <mergeCell ref="T7:U7"/>
    <mergeCell ref="AR7:AS7"/>
    <mergeCell ref="AT7:AU7"/>
    <mergeCell ref="AV7:AW7"/>
    <mergeCell ref="AX7:AY7"/>
    <mergeCell ref="AZ7:BA7"/>
    <mergeCell ref="BB7:BC7"/>
    <mergeCell ref="AF7:AG7"/>
    <mergeCell ref="AH7:AI7"/>
    <mergeCell ref="AJ7:AK7"/>
    <mergeCell ref="AL7:AM7"/>
    <mergeCell ref="AN7:AO7"/>
    <mergeCell ref="AP7:AQ7"/>
    <mergeCell ref="T8:U8"/>
    <mergeCell ref="V8:W8"/>
    <mergeCell ref="X8:Y8"/>
    <mergeCell ref="Z8:AA8"/>
    <mergeCell ref="AB8:AC8"/>
    <mergeCell ref="AD8:AE8"/>
    <mergeCell ref="H8:I8"/>
    <mergeCell ref="J8:K8"/>
    <mergeCell ref="L8:M8"/>
    <mergeCell ref="N8:O8"/>
    <mergeCell ref="P8:Q8"/>
    <mergeCell ref="R8:S8"/>
    <mergeCell ref="AR8:AS8"/>
    <mergeCell ref="AT8:AU8"/>
    <mergeCell ref="AV8:AW8"/>
    <mergeCell ref="AX8:AY8"/>
    <mergeCell ref="AZ8:BA8"/>
    <mergeCell ref="BB8:BC8"/>
    <mergeCell ref="AF8:AG8"/>
    <mergeCell ref="AH8:AI8"/>
    <mergeCell ref="AJ8:AK8"/>
    <mergeCell ref="AL8:AM8"/>
    <mergeCell ref="AN8:AO8"/>
    <mergeCell ref="AP8:AQ8"/>
    <mergeCell ref="T9:U9"/>
    <mergeCell ref="V9:W9"/>
    <mergeCell ref="X9:Y9"/>
    <mergeCell ref="Z9:AA9"/>
    <mergeCell ref="AB9:AC9"/>
    <mergeCell ref="AD9:AE9"/>
    <mergeCell ref="H9:I9"/>
    <mergeCell ref="J9:K9"/>
    <mergeCell ref="L9:M9"/>
    <mergeCell ref="N9:O9"/>
    <mergeCell ref="P9:Q9"/>
    <mergeCell ref="R9:S9"/>
    <mergeCell ref="AR9:AS9"/>
    <mergeCell ref="AT9:AU9"/>
    <mergeCell ref="AV9:AW9"/>
    <mergeCell ref="AX9:AY9"/>
    <mergeCell ref="AZ9:BA9"/>
    <mergeCell ref="BB9:BC9"/>
    <mergeCell ref="AF9:AG9"/>
    <mergeCell ref="AH9:AI9"/>
    <mergeCell ref="AJ9:AK9"/>
    <mergeCell ref="AL9:AM9"/>
    <mergeCell ref="AN9:AO9"/>
    <mergeCell ref="AP9:AQ9"/>
    <mergeCell ref="T10:U10"/>
    <mergeCell ref="V10:W10"/>
    <mergeCell ref="X10:Y10"/>
    <mergeCell ref="Z10:AA10"/>
    <mergeCell ref="AB10:AC10"/>
    <mergeCell ref="AD10:AE10"/>
    <mergeCell ref="H10:I10"/>
    <mergeCell ref="J10:K10"/>
    <mergeCell ref="L10:M10"/>
    <mergeCell ref="N10:O10"/>
    <mergeCell ref="P10:Q10"/>
    <mergeCell ref="R10:S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1:U11"/>
    <mergeCell ref="V11:W11"/>
    <mergeCell ref="X11:Y11"/>
    <mergeCell ref="Z11:AA11"/>
    <mergeCell ref="AB11:AC11"/>
    <mergeCell ref="AD11:AE11"/>
    <mergeCell ref="H11:I11"/>
    <mergeCell ref="J11:K11"/>
    <mergeCell ref="L11:M11"/>
    <mergeCell ref="N11:O11"/>
    <mergeCell ref="P11:Q11"/>
    <mergeCell ref="R11:S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2:U12"/>
    <mergeCell ref="V12:W12"/>
    <mergeCell ref="X12:Y12"/>
    <mergeCell ref="Z12:AA12"/>
    <mergeCell ref="AB12:AC12"/>
    <mergeCell ref="AD12:AE12"/>
    <mergeCell ref="H12:I12"/>
    <mergeCell ref="J12:K12"/>
    <mergeCell ref="L12:M12"/>
    <mergeCell ref="N12:O12"/>
    <mergeCell ref="P12:Q12"/>
    <mergeCell ref="R12:S12"/>
    <mergeCell ref="AR12:AS12"/>
    <mergeCell ref="AT12:AU12"/>
    <mergeCell ref="AV12:AW12"/>
    <mergeCell ref="AX12:AY12"/>
    <mergeCell ref="AZ12:BA12"/>
    <mergeCell ref="BB12:BC12"/>
    <mergeCell ref="AF12:AG12"/>
    <mergeCell ref="AH12:AI12"/>
    <mergeCell ref="AJ12:AK12"/>
    <mergeCell ref="AL12:AM12"/>
    <mergeCell ref="AN12:AO12"/>
    <mergeCell ref="AP12:AQ12"/>
    <mergeCell ref="T13:U13"/>
    <mergeCell ref="V13:W13"/>
    <mergeCell ref="X13:Y13"/>
    <mergeCell ref="Z13:AA13"/>
    <mergeCell ref="AB13:AC13"/>
    <mergeCell ref="AD13:AE13"/>
    <mergeCell ref="H13:I13"/>
    <mergeCell ref="J13:K13"/>
    <mergeCell ref="L13:M13"/>
    <mergeCell ref="N13:O13"/>
    <mergeCell ref="P13:Q13"/>
    <mergeCell ref="R13:S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4:U14"/>
    <mergeCell ref="V14:W14"/>
    <mergeCell ref="X14:Y14"/>
    <mergeCell ref="Z14:AA14"/>
    <mergeCell ref="AB14:AC14"/>
    <mergeCell ref="AD14:AE14"/>
    <mergeCell ref="H14:I14"/>
    <mergeCell ref="J14:K14"/>
    <mergeCell ref="L14:M14"/>
    <mergeCell ref="N14:O14"/>
    <mergeCell ref="P14:Q14"/>
    <mergeCell ref="R14:S14"/>
    <mergeCell ref="AR14:AS14"/>
    <mergeCell ref="AT14:AU14"/>
    <mergeCell ref="AV14:AW14"/>
    <mergeCell ref="AX14:AY14"/>
    <mergeCell ref="AZ14:BA14"/>
    <mergeCell ref="BB14:BC14"/>
    <mergeCell ref="AF14:AG14"/>
    <mergeCell ref="AH14:AI14"/>
    <mergeCell ref="AJ14:AK14"/>
    <mergeCell ref="AL14:AM14"/>
    <mergeCell ref="AN14:AO14"/>
    <mergeCell ref="AP14:AQ14"/>
    <mergeCell ref="T15:U15"/>
    <mergeCell ref="V15:W15"/>
    <mergeCell ref="X15:Y15"/>
    <mergeCell ref="Z15:AA15"/>
    <mergeCell ref="AB15:AC15"/>
    <mergeCell ref="AD15:AE15"/>
    <mergeCell ref="H15:I15"/>
    <mergeCell ref="J15:K15"/>
    <mergeCell ref="L15:M15"/>
    <mergeCell ref="N15:O15"/>
    <mergeCell ref="P15:Q15"/>
    <mergeCell ref="R15:S15"/>
    <mergeCell ref="AT15:AU15"/>
    <mergeCell ref="AV15:AW15"/>
    <mergeCell ref="AX15:AY15"/>
    <mergeCell ref="AZ15:BA15"/>
    <mergeCell ref="BB15:BC15"/>
    <mergeCell ref="AF15:AG15"/>
    <mergeCell ref="AH15:AI15"/>
    <mergeCell ref="AJ15:AK15"/>
    <mergeCell ref="AL15:AM15"/>
    <mergeCell ref="AN15:AO15"/>
    <mergeCell ref="AP15:AQ15"/>
    <mergeCell ref="H16:I16"/>
    <mergeCell ref="J16:K16"/>
    <mergeCell ref="L16:M16"/>
    <mergeCell ref="N16:O16"/>
    <mergeCell ref="P16:Q16"/>
    <mergeCell ref="R16:S16"/>
    <mergeCell ref="A16:A19"/>
    <mergeCell ref="B16:B19"/>
    <mergeCell ref="A20:A23"/>
    <mergeCell ref="B20:B23"/>
    <mergeCell ref="N17:O17"/>
    <mergeCell ref="P17:Q17"/>
    <mergeCell ref="R17:S17"/>
    <mergeCell ref="N19:O19"/>
    <mergeCell ref="P19:Q19"/>
    <mergeCell ref="R19:S19"/>
    <mergeCell ref="N21:O21"/>
    <mergeCell ref="P21:Q21"/>
    <mergeCell ref="R21:S21"/>
    <mergeCell ref="H22:I22"/>
    <mergeCell ref="J22:K22"/>
    <mergeCell ref="L22:M22"/>
    <mergeCell ref="N22:O22"/>
    <mergeCell ref="P22:Q22"/>
    <mergeCell ref="AR16:AS16"/>
    <mergeCell ref="AT16:AU16"/>
    <mergeCell ref="AV16:AW16"/>
    <mergeCell ref="AX16:AY16"/>
    <mergeCell ref="AZ16:BA16"/>
    <mergeCell ref="BB16:BC16"/>
    <mergeCell ref="AF16:AG16"/>
    <mergeCell ref="AH16:AI16"/>
    <mergeCell ref="AJ16:AK16"/>
    <mergeCell ref="AL16:AM16"/>
    <mergeCell ref="AN16:AO16"/>
    <mergeCell ref="AP16:AQ16"/>
    <mergeCell ref="T16:U16"/>
    <mergeCell ref="V16:W16"/>
    <mergeCell ref="X16:Y16"/>
    <mergeCell ref="Z16:AA16"/>
    <mergeCell ref="AB16:AC16"/>
    <mergeCell ref="AD16:AE16"/>
    <mergeCell ref="H18:I18"/>
    <mergeCell ref="J18:K18"/>
    <mergeCell ref="L18:M18"/>
    <mergeCell ref="N18:O18"/>
    <mergeCell ref="P18:Q18"/>
    <mergeCell ref="R18:S18"/>
    <mergeCell ref="T17:U17"/>
    <mergeCell ref="V17:W17"/>
    <mergeCell ref="X17:Y17"/>
    <mergeCell ref="Z17:AA17"/>
    <mergeCell ref="AB17:AC17"/>
    <mergeCell ref="AD17:AE17"/>
    <mergeCell ref="H17:I17"/>
    <mergeCell ref="J17:K17"/>
    <mergeCell ref="L17:M17"/>
    <mergeCell ref="T18:U18"/>
    <mergeCell ref="V18:W18"/>
    <mergeCell ref="X18:Y18"/>
    <mergeCell ref="AR17:AS17"/>
    <mergeCell ref="AT17:AU17"/>
    <mergeCell ref="AV17:AW17"/>
    <mergeCell ref="AF17:AG17"/>
    <mergeCell ref="AH17:AI17"/>
    <mergeCell ref="AJ17:AK17"/>
    <mergeCell ref="AL17:AM17"/>
    <mergeCell ref="AN17:AO17"/>
    <mergeCell ref="AP17:AQ17"/>
    <mergeCell ref="AR18:AS18"/>
    <mergeCell ref="AT18:AU18"/>
    <mergeCell ref="AV18:AW18"/>
    <mergeCell ref="AX18:AY18"/>
    <mergeCell ref="AZ18:BA18"/>
    <mergeCell ref="BB18:BC18"/>
    <mergeCell ref="AF18:AG18"/>
    <mergeCell ref="AH18:AI18"/>
    <mergeCell ref="AJ18:AK18"/>
    <mergeCell ref="AL18:AM18"/>
    <mergeCell ref="AN18:AO18"/>
    <mergeCell ref="AP18:AQ18"/>
    <mergeCell ref="Z18:AA18"/>
    <mergeCell ref="AB18:AC18"/>
    <mergeCell ref="AD18:AE18"/>
    <mergeCell ref="H20:I20"/>
    <mergeCell ref="J20:K20"/>
    <mergeCell ref="L20:M20"/>
    <mergeCell ref="N20:O20"/>
    <mergeCell ref="P20:Q20"/>
    <mergeCell ref="R20:S20"/>
    <mergeCell ref="T19:U19"/>
    <mergeCell ref="V19:W19"/>
    <mergeCell ref="X19:Y19"/>
    <mergeCell ref="Z19:AA19"/>
    <mergeCell ref="AB19:AC19"/>
    <mergeCell ref="AD19:AE19"/>
    <mergeCell ref="H19:I19"/>
    <mergeCell ref="J19:K19"/>
    <mergeCell ref="L19:M19"/>
    <mergeCell ref="T20:U20"/>
    <mergeCell ref="V20:W20"/>
    <mergeCell ref="X20:Y20"/>
    <mergeCell ref="Z20:AA20"/>
    <mergeCell ref="AB20:AC20"/>
    <mergeCell ref="AD20:AE20"/>
    <mergeCell ref="AR19:AS19"/>
    <mergeCell ref="AT19:AU19"/>
    <mergeCell ref="AV19:AW19"/>
    <mergeCell ref="AF19:AG19"/>
    <mergeCell ref="AH19:AI19"/>
    <mergeCell ref="AJ19:AK19"/>
    <mergeCell ref="AL19:AM19"/>
    <mergeCell ref="AN19:AO19"/>
    <mergeCell ref="AP19:AQ19"/>
    <mergeCell ref="AV20:AW20"/>
    <mergeCell ref="AX20:AY20"/>
    <mergeCell ref="AZ20:BA20"/>
    <mergeCell ref="BB20:BC20"/>
    <mergeCell ref="AF20:AG20"/>
    <mergeCell ref="AH20:AI20"/>
    <mergeCell ref="AJ20:AK20"/>
    <mergeCell ref="AL20:AM20"/>
    <mergeCell ref="AN20:AO20"/>
    <mergeCell ref="AP20:AQ20"/>
    <mergeCell ref="AP21:AQ21"/>
    <mergeCell ref="T21:U21"/>
    <mergeCell ref="V21:W21"/>
    <mergeCell ref="X21:Y21"/>
    <mergeCell ref="Z21:AA21"/>
    <mergeCell ref="AB21:AC21"/>
    <mergeCell ref="AD21:AE21"/>
    <mergeCell ref="AR20:AS20"/>
    <mergeCell ref="AT20:AU20"/>
    <mergeCell ref="H21:I21"/>
    <mergeCell ref="J21:K21"/>
    <mergeCell ref="L21:M21"/>
    <mergeCell ref="N23:O23"/>
    <mergeCell ref="P23:Q23"/>
    <mergeCell ref="R23:S23"/>
    <mergeCell ref="AR22:AS22"/>
    <mergeCell ref="AT22:AU22"/>
    <mergeCell ref="AV22:AW22"/>
    <mergeCell ref="T22:U22"/>
    <mergeCell ref="V22:W22"/>
    <mergeCell ref="X22:Y22"/>
    <mergeCell ref="Z22:AA22"/>
    <mergeCell ref="AB22:AC22"/>
    <mergeCell ref="AD22:AE22"/>
    <mergeCell ref="R22:S22"/>
    <mergeCell ref="AR21:AS21"/>
    <mergeCell ref="AT21:AU21"/>
    <mergeCell ref="AV21:AW21"/>
    <mergeCell ref="AF21:AG21"/>
    <mergeCell ref="AH21:AI21"/>
    <mergeCell ref="AJ21:AK21"/>
    <mergeCell ref="AL21:AM21"/>
    <mergeCell ref="AN21:AO21"/>
    <mergeCell ref="AX22:AY22"/>
    <mergeCell ref="AZ22:BA22"/>
    <mergeCell ref="BB22:BC22"/>
    <mergeCell ref="AF22:AG22"/>
    <mergeCell ref="AH22:AI22"/>
    <mergeCell ref="AJ22:AK22"/>
    <mergeCell ref="AL22:AM22"/>
    <mergeCell ref="AN22:AO22"/>
    <mergeCell ref="AP22:AQ22"/>
    <mergeCell ref="H24:I24"/>
    <mergeCell ref="J24:K24"/>
    <mergeCell ref="L24:M24"/>
    <mergeCell ref="N24:O24"/>
    <mergeCell ref="P24:Q24"/>
    <mergeCell ref="R24:S24"/>
    <mergeCell ref="AR23:AS23"/>
    <mergeCell ref="AT23:AU23"/>
    <mergeCell ref="AV23:AW23"/>
    <mergeCell ref="AF23:AG23"/>
    <mergeCell ref="AH23:AI23"/>
    <mergeCell ref="AJ23:AK23"/>
    <mergeCell ref="AL23:AM23"/>
    <mergeCell ref="AN23:AO23"/>
    <mergeCell ref="AP23:AQ23"/>
    <mergeCell ref="T23:U23"/>
    <mergeCell ref="V23:W23"/>
    <mergeCell ref="X23:Y23"/>
    <mergeCell ref="Z23:AA23"/>
    <mergeCell ref="AB23:AC23"/>
    <mergeCell ref="AD23:AE23"/>
    <mergeCell ref="H23:I23"/>
    <mergeCell ref="J23:K23"/>
    <mergeCell ref="L23:M23"/>
    <mergeCell ref="AF24:AG24"/>
    <mergeCell ref="AH24:AI24"/>
    <mergeCell ref="AJ24:AK24"/>
    <mergeCell ref="AL24:AM24"/>
    <mergeCell ref="AN24:AO24"/>
    <mergeCell ref="AP24:AQ24"/>
    <mergeCell ref="T24:U24"/>
    <mergeCell ref="V24:W24"/>
    <mergeCell ref="X24:Y24"/>
    <mergeCell ref="Z24:AA24"/>
    <mergeCell ref="AB24:AC24"/>
    <mergeCell ref="AD24:AE24"/>
    <mergeCell ref="BD3:BD4"/>
    <mergeCell ref="BE3:BE4"/>
    <mergeCell ref="BF3:BF4"/>
    <mergeCell ref="BG3:BG4"/>
    <mergeCell ref="BH3:BH4"/>
    <mergeCell ref="AR24:AS24"/>
    <mergeCell ref="AT24:AU24"/>
    <mergeCell ref="AV24:AW24"/>
    <mergeCell ref="AX24:AY24"/>
    <mergeCell ref="AZ24:BA24"/>
    <mergeCell ref="BB24:BC24"/>
    <mergeCell ref="AX23:AY23"/>
    <mergeCell ref="AZ23:BA23"/>
    <mergeCell ref="BB23:BC23"/>
    <mergeCell ref="AX21:AY21"/>
    <mergeCell ref="AZ21:BA21"/>
    <mergeCell ref="BB21:BC21"/>
    <mergeCell ref="AX19:AY19"/>
    <mergeCell ref="AZ19:BA19"/>
    <mergeCell ref="BB19:BC19"/>
    <mergeCell ref="AX17:AY17"/>
    <mergeCell ref="AZ17:BA17"/>
    <mergeCell ref="BB17:BC17"/>
    <mergeCell ref="AR15:AS15"/>
  </mergeCells>
  <conditionalFormatting sqref="BF5:BF24">
    <cfRule type="cellIs" dxfId="148" priority="1" operator="between">
      <formula>"0.5"</formula>
      <formula>1</formula>
    </cfRule>
  </conditionalFormatting>
  <printOptions horizontalCentered="1" verticalCentered="1"/>
  <pageMargins left="0.25" right="0.25" top="0.75" bottom="0.75" header="0.3" footer="0.3"/>
  <pageSetup paperSize="41" scale="50" orientation="landscape" r:id="rId1"/>
  <headerFooter alignWithMargins="0">
    <oddFoote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I57"/>
  <sheetViews>
    <sheetView topLeftCell="D28" zoomScale="70" zoomScaleNormal="70" zoomScaleSheetLayoutView="100" workbookViewId="0">
      <selection activeCell="BD4" sqref="BD4:BD28"/>
    </sheetView>
  </sheetViews>
  <sheetFormatPr baseColWidth="10" defaultRowHeight="12.75" x14ac:dyDescent="0.2"/>
  <cols>
    <col min="1" max="1" width="34" style="189" customWidth="1"/>
    <col min="2" max="2" width="23" style="190" customWidth="1"/>
    <col min="3" max="3" width="49.42578125" style="191" customWidth="1"/>
    <col min="4" max="4" width="36" style="189" customWidth="1"/>
    <col min="5" max="5" width="27.85546875" style="189" customWidth="1"/>
    <col min="6" max="6" width="23.42578125" style="189" customWidth="1"/>
    <col min="7" max="7" width="13.85546875" style="189" customWidth="1"/>
    <col min="8" max="8" width="3.5703125" style="189" customWidth="1"/>
    <col min="9" max="9" width="4.140625" style="189" customWidth="1"/>
    <col min="10" max="55" width="3.5703125" style="189" customWidth="1"/>
    <col min="56" max="60" width="9.5703125" style="189" customWidth="1"/>
    <col min="61" max="16384" width="11.42578125" style="189"/>
  </cols>
  <sheetData>
    <row r="1" spans="1:61" ht="13.5" thickBot="1" x14ac:dyDescent="0.25">
      <c r="H1" s="192"/>
    </row>
    <row r="2" spans="1:61" ht="13.5" customHeight="1" thickBot="1" x14ac:dyDescent="0.25">
      <c r="A2" s="1381" t="s">
        <v>722</v>
      </c>
      <c r="B2" s="1383" t="s">
        <v>723</v>
      </c>
      <c r="C2" s="1381" t="s">
        <v>724</v>
      </c>
      <c r="D2" s="1381" t="s">
        <v>725</v>
      </c>
      <c r="E2" s="1381" t="s">
        <v>726</v>
      </c>
      <c r="F2" s="1381" t="s">
        <v>727</v>
      </c>
      <c r="G2" s="1386" t="s">
        <v>6</v>
      </c>
      <c r="H2" s="1392" t="s">
        <v>818</v>
      </c>
      <c r="I2" s="1393"/>
      <c r="J2" s="1393"/>
      <c r="K2" s="1394"/>
      <c r="L2" s="1392" t="s">
        <v>819</v>
      </c>
      <c r="M2" s="1393"/>
      <c r="N2" s="1393"/>
      <c r="O2" s="1394"/>
      <c r="P2" s="1392" t="s">
        <v>820</v>
      </c>
      <c r="Q2" s="1393"/>
      <c r="R2" s="1393"/>
      <c r="S2" s="1394"/>
      <c r="T2" s="1392" t="s">
        <v>821</v>
      </c>
      <c r="U2" s="1393"/>
      <c r="V2" s="1393"/>
      <c r="W2" s="1394"/>
      <c r="X2" s="1392" t="s">
        <v>822</v>
      </c>
      <c r="Y2" s="1393"/>
      <c r="Z2" s="1393"/>
      <c r="AA2" s="1394"/>
      <c r="AB2" s="1392" t="s">
        <v>823</v>
      </c>
      <c r="AC2" s="1393"/>
      <c r="AD2" s="1393"/>
      <c r="AE2" s="1394"/>
      <c r="AF2" s="1392" t="s">
        <v>824</v>
      </c>
      <c r="AG2" s="1393"/>
      <c r="AH2" s="1393"/>
      <c r="AI2" s="1394"/>
      <c r="AJ2" s="1392" t="s">
        <v>825</v>
      </c>
      <c r="AK2" s="1393"/>
      <c r="AL2" s="1393"/>
      <c r="AM2" s="1394"/>
      <c r="AN2" s="1392" t="s">
        <v>826</v>
      </c>
      <c r="AO2" s="1393"/>
      <c r="AP2" s="1393"/>
      <c r="AQ2" s="1394"/>
      <c r="AR2" s="1392" t="s">
        <v>827</v>
      </c>
      <c r="AS2" s="1393"/>
      <c r="AT2" s="1393"/>
      <c r="AU2" s="1394"/>
      <c r="AV2" s="1392" t="s">
        <v>828</v>
      </c>
      <c r="AW2" s="1393"/>
      <c r="AX2" s="1393"/>
      <c r="AY2" s="1394"/>
      <c r="AZ2" s="1392" t="s">
        <v>829</v>
      </c>
      <c r="BA2" s="1393"/>
      <c r="BB2" s="1393"/>
      <c r="BC2" s="1394"/>
      <c r="BD2" s="1088" t="s">
        <v>66</v>
      </c>
      <c r="BE2" s="1088" t="s">
        <v>67</v>
      </c>
      <c r="BF2" s="1378" t="s">
        <v>68</v>
      </c>
      <c r="BG2" s="1141" t="s">
        <v>69</v>
      </c>
      <c r="BH2" s="1079" t="s">
        <v>241</v>
      </c>
    </row>
    <row r="3" spans="1:61" s="193" customFormat="1" ht="94.5" customHeight="1" thickBot="1" x14ac:dyDescent="0.25">
      <c r="A3" s="1382"/>
      <c r="B3" s="1384"/>
      <c r="C3" s="1382"/>
      <c r="D3" s="1382"/>
      <c r="E3" s="1382"/>
      <c r="F3" s="1385"/>
      <c r="G3" s="1387"/>
      <c r="H3" s="1462" t="s">
        <v>19</v>
      </c>
      <c r="I3" s="1463"/>
      <c r="J3" s="1388" t="s">
        <v>20</v>
      </c>
      <c r="K3" s="1389"/>
      <c r="L3" s="1390" t="s">
        <v>19</v>
      </c>
      <c r="M3" s="1391"/>
      <c r="N3" s="1388" t="s">
        <v>20</v>
      </c>
      <c r="O3" s="1389"/>
      <c r="P3" s="1390" t="s">
        <v>19</v>
      </c>
      <c r="Q3" s="1391"/>
      <c r="R3" s="1388" t="s">
        <v>20</v>
      </c>
      <c r="S3" s="1389"/>
      <c r="T3" s="1390" t="s">
        <v>19</v>
      </c>
      <c r="U3" s="1391"/>
      <c r="V3" s="1388" t="s">
        <v>20</v>
      </c>
      <c r="W3" s="1389"/>
      <c r="X3" s="1390" t="s">
        <v>19</v>
      </c>
      <c r="Y3" s="1391"/>
      <c r="Z3" s="1388" t="s">
        <v>20</v>
      </c>
      <c r="AA3" s="1389"/>
      <c r="AB3" s="1390" t="s">
        <v>19</v>
      </c>
      <c r="AC3" s="1391"/>
      <c r="AD3" s="1388" t="s">
        <v>20</v>
      </c>
      <c r="AE3" s="1389"/>
      <c r="AF3" s="1390" t="s">
        <v>19</v>
      </c>
      <c r="AG3" s="1391"/>
      <c r="AH3" s="1388" t="s">
        <v>20</v>
      </c>
      <c r="AI3" s="1389"/>
      <c r="AJ3" s="1390" t="s">
        <v>19</v>
      </c>
      <c r="AK3" s="1391"/>
      <c r="AL3" s="1388" t="s">
        <v>20</v>
      </c>
      <c r="AM3" s="1389"/>
      <c r="AN3" s="1390" t="s">
        <v>19</v>
      </c>
      <c r="AO3" s="1391"/>
      <c r="AP3" s="1388" t="s">
        <v>20</v>
      </c>
      <c r="AQ3" s="1389"/>
      <c r="AR3" s="1390" t="s">
        <v>19</v>
      </c>
      <c r="AS3" s="1391"/>
      <c r="AT3" s="1388" t="s">
        <v>20</v>
      </c>
      <c r="AU3" s="1389"/>
      <c r="AV3" s="1390" t="s">
        <v>19</v>
      </c>
      <c r="AW3" s="1391"/>
      <c r="AX3" s="1388" t="s">
        <v>20</v>
      </c>
      <c r="AY3" s="1389"/>
      <c r="AZ3" s="1390" t="s">
        <v>19</v>
      </c>
      <c r="BA3" s="1391"/>
      <c r="BB3" s="1388" t="s">
        <v>20</v>
      </c>
      <c r="BC3" s="1389"/>
      <c r="BD3" s="1089"/>
      <c r="BE3" s="1089"/>
      <c r="BF3" s="1379"/>
      <c r="BG3" s="1380"/>
      <c r="BH3" s="1087"/>
    </row>
    <row r="4" spans="1:61" s="197" customFormat="1" ht="63.75" customHeight="1" thickBot="1" x14ac:dyDescent="0.25">
      <c r="A4" s="1468" t="s">
        <v>504</v>
      </c>
      <c r="B4" s="1469">
        <v>0.35</v>
      </c>
      <c r="C4" s="88" t="s">
        <v>505</v>
      </c>
      <c r="D4" s="194" t="s">
        <v>506</v>
      </c>
      <c r="E4" s="195" t="s">
        <v>507</v>
      </c>
      <c r="F4" s="196">
        <v>0.03</v>
      </c>
      <c r="G4" s="207" t="s">
        <v>109</v>
      </c>
      <c r="H4" s="1426"/>
      <c r="I4" s="1427"/>
      <c r="J4" s="1459"/>
      <c r="K4" s="1460"/>
      <c r="L4" s="1464">
        <v>0.1</v>
      </c>
      <c r="M4" s="1465"/>
      <c r="N4" s="1457">
        <f>100%/10</f>
        <v>0.1</v>
      </c>
      <c r="O4" s="1458"/>
      <c r="P4" s="1803">
        <v>0.05</v>
      </c>
      <c r="Q4" s="1804"/>
      <c r="R4" s="1457">
        <f t="shared" ref="R4:R9" si="0">N4</f>
        <v>0.1</v>
      </c>
      <c r="S4" s="1458"/>
      <c r="T4" s="1459"/>
      <c r="U4" s="1460"/>
      <c r="V4" s="1457">
        <f t="shared" ref="V4:V9" si="1">R4</f>
        <v>0.1</v>
      </c>
      <c r="W4" s="1458"/>
      <c r="X4" s="1459"/>
      <c r="Y4" s="1460"/>
      <c r="Z4" s="1457">
        <f t="shared" ref="Z4:Z9" si="2">V4</f>
        <v>0.1</v>
      </c>
      <c r="AA4" s="1458"/>
      <c r="AB4" s="1459"/>
      <c r="AC4" s="1460"/>
      <c r="AD4" s="1457">
        <f t="shared" ref="AD4:AD10" si="3">Z4</f>
        <v>0.1</v>
      </c>
      <c r="AE4" s="1458"/>
      <c r="AF4" s="1459"/>
      <c r="AG4" s="1460"/>
      <c r="AH4" s="1457">
        <f t="shared" ref="AH4:AH10" si="4">AD4</f>
        <v>0.1</v>
      </c>
      <c r="AI4" s="1458"/>
      <c r="AJ4" s="1459"/>
      <c r="AK4" s="1460"/>
      <c r="AL4" s="1457">
        <f>AH4</f>
        <v>0.1</v>
      </c>
      <c r="AM4" s="1458"/>
      <c r="AN4" s="1459"/>
      <c r="AO4" s="1460"/>
      <c r="AP4" s="1457">
        <f>AL4</f>
        <v>0.1</v>
      </c>
      <c r="AQ4" s="1458"/>
      <c r="AR4" s="1459"/>
      <c r="AS4" s="1460"/>
      <c r="AT4" s="1457">
        <f>AP4</f>
        <v>0.1</v>
      </c>
      <c r="AU4" s="1458"/>
      <c r="AV4" s="1459"/>
      <c r="AW4" s="1460"/>
      <c r="AX4" s="1457">
        <f>AT4</f>
        <v>0.1</v>
      </c>
      <c r="AY4" s="1458"/>
      <c r="AZ4" s="1459"/>
      <c r="BA4" s="1460"/>
      <c r="BB4" s="1459"/>
      <c r="BC4" s="1461"/>
      <c r="BD4" s="865">
        <f>H4+L4+P4+T4+X4+AB4+AF4+AJ4+AN4+AR4+AV4+AZ4</f>
        <v>0.15000000000000002</v>
      </c>
      <c r="BE4" s="250">
        <f>J4+N4+R4+V4+Z4+AD4+AH4+AL4+AP4+AT4+AX4+BB4</f>
        <v>0.99999999999999989</v>
      </c>
      <c r="BF4" s="251">
        <f>BD4/BE4</f>
        <v>0.15000000000000005</v>
      </c>
      <c r="BG4" s="252">
        <f t="shared" ref="BG4:BG28" si="5">F4*BF4</f>
        <v>4.5000000000000014E-3</v>
      </c>
      <c r="BH4" s="253">
        <f>F4</f>
        <v>0.03</v>
      </c>
      <c r="BI4" s="257">
        <f>((J4+N4+R4)/BE4)*BH4</f>
        <v>6.000000000000001E-3</v>
      </c>
    </row>
    <row r="5" spans="1:61" s="197" customFormat="1" ht="63.75" customHeight="1" thickBot="1" x14ac:dyDescent="0.25">
      <c r="A5" s="1439"/>
      <c r="B5" s="1470"/>
      <c r="C5" s="93" t="s">
        <v>508</v>
      </c>
      <c r="D5" s="185" t="s">
        <v>509</v>
      </c>
      <c r="E5" s="53" t="s">
        <v>507</v>
      </c>
      <c r="F5" s="198">
        <v>0.03</v>
      </c>
      <c r="G5" s="207" t="s">
        <v>115</v>
      </c>
      <c r="H5" s="1415">
        <v>0.14000000000000001</v>
      </c>
      <c r="I5" s="1416"/>
      <c r="J5" s="1402"/>
      <c r="K5" s="1403"/>
      <c r="L5" s="1415">
        <v>0.17</v>
      </c>
      <c r="M5" s="1416"/>
      <c r="N5" s="1451">
        <f>100%/6</f>
        <v>0.16666666666666666</v>
      </c>
      <c r="O5" s="1452"/>
      <c r="P5" s="1805">
        <v>0.17</v>
      </c>
      <c r="Q5" s="1806"/>
      <c r="R5" s="1419">
        <f t="shared" si="0"/>
        <v>0.16666666666666666</v>
      </c>
      <c r="S5" s="1420"/>
      <c r="T5" s="1455"/>
      <c r="U5" s="1456"/>
      <c r="V5" s="1419">
        <f t="shared" si="1"/>
        <v>0.16666666666666666</v>
      </c>
      <c r="W5" s="1420"/>
      <c r="X5" s="1455"/>
      <c r="Y5" s="1456"/>
      <c r="Z5" s="1419">
        <f t="shared" si="2"/>
        <v>0.16666666666666666</v>
      </c>
      <c r="AA5" s="1420"/>
      <c r="AB5" s="1455"/>
      <c r="AC5" s="1456"/>
      <c r="AD5" s="1419">
        <f t="shared" si="3"/>
        <v>0.16666666666666666</v>
      </c>
      <c r="AE5" s="1420"/>
      <c r="AF5" s="1455"/>
      <c r="AG5" s="1456"/>
      <c r="AH5" s="1419">
        <f t="shared" si="4"/>
        <v>0.16666666666666666</v>
      </c>
      <c r="AI5" s="1420"/>
      <c r="AJ5" s="1402"/>
      <c r="AK5" s="1403"/>
      <c r="AL5" s="1402"/>
      <c r="AM5" s="1403"/>
      <c r="AN5" s="1450"/>
      <c r="AO5" s="1403"/>
      <c r="AP5" s="1402"/>
      <c r="AQ5" s="1403"/>
      <c r="AR5" s="1402"/>
      <c r="AS5" s="1403"/>
      <c r="AT5" s="1402"/>
      <c r="AU5" s="1403"/>
      <c r="AV5" s="1402"/>
      <c r="AW5" s="1403"/>
      <c r="AX5" s="1402"/>
      <c r="AY5" s="1403"/>
      <c r="AZ5" s="1450"/>
      <c r="BA5" s="1403"/>
      <c r="BB5" s="1402"/>
      <c r="BC5" s="1404"/>
      <c r="BD5" s="865">
        <f>H5+L5+P5+T5+X5+AB5+AF5+AJ5+AN5+AR5+AV5+AZ5</f>
        <v>0.48000000000000009</v>
      </c>
      <c r="BE5" s="250">
        <f t="shared" ref="BE5:BE28" si="6">J5+N5+R5+V5+Z5+AD5+AH5+AL5+AP5+AT5+AX5+BB5</f>
        <v>0.99999999999999989</v>
      </c>
      <c r="BF5" s="251">
        <f t="shared" ref="BF5:BF28" si="7">BD5/BE5</f>
        <v>0.48000000000000015</v>
      </c>
      <c r="BG5" s="252">
        <f t="shared" si="5"/>
        <v>1.4400000000000003E-2</v>
      </c>
      <c r="BH5" s="253">
        <f t="shared" ref="BH5:BH28" si="8">F5</f>
        <v>0.03</v>
      </c>
      <c r="BI5" s="257">
        <f t="shared" ref="BI5:BI28" si="9">((J5+N5+R5)/BE5)*BH5</f>
        <v>0.01</v>
      </c>
    </row>
    <row r="6" spans="1:61" s="197" customFormat="1" ht="66" customHeight="1" thickBot="1" x14ac:dyDescent="0.25">
      <c r="A6" s="1439"/>
      <c r="B6" s="1470"/>
      <c r="C6" s="139" t="s">
        <v>510</v>
      </c>
      <c r="D6" s="199" t="s">
        <v>511</v>
      </c>
      <c r="E6" s="53" t="s">
        <v>512</v>
      </c>
      <c r="F6" s="198">
        <v>0.03</v>
      </c>
      <c r="G6" s="207" t="s">
        <v>118</v>
      </c>
      <c r="H6" s="1415">
        <v>0.14000000000000001</v>
      </c>
      <c r="I6" s="1416"/>
      <c r="J6" s="1402"/>
      <c r="K6" s="1403"/>
      <c r="L6" s="1415">
        <v>0.17</v>
      </c>
      <c r="M6" s="1416"/>
      <c r="N6" s="1411">
        <f>100%/6</f>
        <v>0.16666666666666666</v>
      </c>
      <c r="O6" s="1412"/>
      <c r="P6" s="1805">
        <v>0.17</v>
      </c>
      <c r="Q6" s="1806"/>
      <c r="R6" s="1419">
        <f t="shared" si="0"/>
        <v>0.16666666666666666</v>
      </c>
      <c r="S6" s="1420"/>
      <c r="T6" s="1402"/>
      <c r="U6" s="1403"/>
      <c r="V6" s="1419">
        <f t="shared" si="1"/>
        <v>0.16666666666666666</v>
      </c>
      <c r="W6" s="1420"/>
      <c r="X6" s="1402"/>
      <c r="Y6" s="1403"/>
      <c r="Z6" s="1419">
        <f t="shared" si="2"/>
        <v>0.16666666666666666</v>
      </c>
      <c r="AA6" s="1420"/>
      <c r="AB6" s="1402"/>
      <c r="AC6" s="1403"/>
      <c r="AD6" s="1419">
        <f t="shared" si="3"/>
        <v>0.16666666666666666</v>
      </c>
      <c r="AE6" s="1420"/>
      <c r="AF6" s="1402"/>
      <c r="AG6" s="1403"/>
      <c r="AH6" s="1419">
        <f t="shared" si="4"/>
        <v>0.16666666666666666</v>
      </c>
      <c r="AI6" s="1420"/>
      <c r="AJ6" s="1402"/>
      <c r="AK6" s="1403"/>
      <c r="AL6" s="1402"/>
      <c r="AM6" s="1403"/>
      <c r="AN6" s="1402"/>
      <c r="AO6" s="1403"/>
      <c r="AP6" s="1402"/>
      <c r="AQ6" s="1403"/>
      <c r="AR6" s="1402"/>
      <c r="AS6" s="1403"/>
      <c r="AT6" s="1402"/>
      <c r="AU6" s="1403"/>
      <c r="AV6" s="1402"/>
      <c r="AW6" s="1403"/>
      <c r="AX6" s="1402"/>
      <c r="AY6" s="1403"/>
      <c r="AZ6" s="1402"/>
      <c r="BA6" s="1403"/>
      <c r="BB6" s="1402"/>
      <c r="BC6" s="1404"/>
      <c r="BD6" s="865">
        <f>H6+L6+P6+T6+X6+AB6+AF6+AJ6+AN6+AR6+AV6+AZ6</f>
        <v>0.48000000000000009</v>
      </c>
      <c r="BE6" s="250">
        <f t="shared" si="6"/>
        <v>0.99999999999999989</v>
      </c>
      <c r="BF6" s="251">
        <f t="shared" si="7"/>
        <v>0.48000000000000015</v>
      </c>
      <c r="BG6" s="252">
        <f t="shared" si="5"/>
        <v>1.4400000000000003E-2</v>
      </c>
      <c r="BH6" s="253">
        <f t="shared" si="8"/>
        <v>0.03</v>
      </c>
      <c r="BI6" s="257">
        <f t="shared" si="9"/>
        <v>0.01</v>
      </c>
    </row>
    <row r="7" spans="1:61" s="197" customFormat="1" ht="66" customHeight="1" thickBot="1" x14ac:dyDescent="0.25">
      <c r="A7" s="1439"/>
      <c r="B7" s="1470"/>
      <c r="C7" s="139" t="s">
        <v>513</v>
      </c>
      <c r="D7" s="199" t="s">
        <v>514</v>
      </c>
      <c r="E7" s="53" t="s">
        <v>515</v>
      </c>
      <c r="F7" s="198">
        <v>0.03</v>
      </c>
      <c r="G7" s="208" t="s">
        <v>446</v>
      </c>
      <c r="H7" s="1415">
        <v>0.11</v>
      </c>
      <c r="I7" s="1416"/>
      <c r="J7" s="1402"/>
      <c r="K7" s="1403"/>
      <c r="L7" s="1415">
        <v>0.13</v>
      </c>
      <c r="M7" s="1416"/>
      <c r="N7" s="1451">
        <f>100%/8</f>
        <v>0.125</v>
      </c>
      <c r="O7" s="1452"/>
      <c r="P7" s="1805">
        <v>0.13</v>
      </c>
      <c r="Q7" s="1806"/>
      <c r="R7" s="1419">
        <f t="shared" si="0"/>
        <v>0.125</v>
      </c>
      <c r="S7" s="1420"/>
      <c r="T7" s="1455"/>
      <c r="U7" s="1456"/>
      <c r="V7" s="1419">
        <f t="shared" si="1"/>
        <v>0.125</v>
      </c>
      <c r="W7" s="1420"/>
      <c r="X7" s="1455"/>
      <c r="Y7" s="1456"/>
      <c r="Z7" s="1419">
        <f t="shared" si="2"/>
        <v>0.125</v>
      </c>
      <c r="AA7" s="1420"/>
      <c r="AB7" s="1455"/>
      <c r="AC7" s="1456"/>
      <c r="AD7" s="1419">
        <f t="shared" si="3"/>
        <v>0.125</v>
      </c>
      <c r="AE7" s="1420"/>
      <c r="AF7" s="1455"/>
      <c r="AG7" s="1456"/>
      <c r="AH7" s="1419">
        <f t="shared" si="4"/>
        <v>0.125</v>
      </c>
      <c r="AI7" s="1420"/>
      <c r="AJ7" s="1455"/>
      <c r="AK7" s="1456"/>
      <c r="AL7" s="1419">
        <f t="shared" ref="AL7:AL12" si="10">AH7</f>
        <v>0.125</v>
      </c>
      <c r="AM7" s="1420"/>
      <c r="AN7" s="1455"/>
      <c r="AO7" s="1456"/>
      <c r="AP7" s="1419">
        <f t="shared" ref="AP7:AP12" si="11">AL7</f>
        <v>0.125</v>
      </c>
      <c r="AQ7" s="1420"/>
      <c r="AR7" s="1402"/>
      <c r="AS7" s="1403"/>
      <c r="AT7" s="1402"/>
      <c r="AU7" s="1403"/>
      <c r="AV7" s="1402"/>
      <c r="AW7" s="1403"/>
      <c r="AX7" s="1402"/>
      <c r="AY7" s="1403"/>
      <c r="AZ7" s="1450"/>
      <c r="BA7" s="1403"/>
      <c r="BB7" s="1402"/>
      <c r="BC7" s="1404"/>
      <c r="BD7" s="865">
        <f>H7+L7+P7+T7+X7+AB7+AF7+AJ7+AN7+AR7+AV7+AZ7</f>
        <v>0.37</v>
      </c>
      <c r="BE7" s="250">
        <f t="shared" si="6"/>
        <v>1</v>
      </c>
      <c r="BF7" s="251">
        <f t="shared" si="7"/>
        <v>0.37</v>
      </c>
      <c r="BG7" s="252">
        <f t="shared" si="5"/>
        <v>1.1099999999999999E-2</v>
      </c>
      <c r="BH7" s="253">
        <f t="shared" si="8"/>
        <v>0.03</v>
      </c>
      <c r="BI7" s="257">
        <f t="shared" si="9"/>
        <v>7.4999999999999997E-3</v>
      </c>
    </row>
    <row r="8" spans="1:61" s="197" customFormat="1" ht="57.75" thickBot="1" x14ac:dyDescent="0.25">
      <c r="A8" s="1439"/>
      <c r="B8" s="1470"/>
      <c r="C8" s="139" t="s">
        <v>516</v>
      </c>
      <c r="D8" s="199" t="s">
        <v>517</v>
      </c>
      <c r="E8" s="53" t="s">
        <v>518</v>
      </c>
      <c r="F8" s="198">
        <v>0.03</v>
      </c>
      <c r="G8" s="208" t="s">
        <v>450</v>
      </c>
      <c r="H8" s="1415">
        <v>0.11</v>
      </c>
      <c r="I8" s="1416"/>
      <c r="J8" s="1402"/>
      <c r="K8" s="1403"/>
      <c r="L8" s="1415">
        <v>0.13</v>
      </c>
      <c r="M8" s="1416"/>
      <c r="N8" s="1411">
        <f>100%/8</f>
        <v>0.125</v>
      </c>
      <c r="O8" s="1412"/>
      <c r="P8" s="1805">
        <v>0.13</v>
      </c>
      <c r="Q8" s="1806"/>
      <c r="R8" s="1419">
        <f t="shared" si="0"/>
        <v>0.125</v>
      </c>
      <c r="S8" s="1420"/>
      <c r="T8" s="1402"/>
      <c r="U8" s="1403"/>
      <c r="V8" s="1419">
        <f t="shared" si="1"/>
        <v>0.125</v>
      </c>
      <c r="W8" s="1420"/>
      <c r="X8" s="1402"/>
      <c r="Y8" s="1403"/>
      <c r="Z8" s="1419">
        <f t="shared" si="2"/>
        <v>0.125</v>
      </c>
      <c r="AA8" s="1420"/>
      <c r="AB8" s="1402"/>
      <c r="AC8" s="1403"/>
      <c r="AD8" s="1419">
        <f t="shared" si="3"/>
        <v>0.125</v>
      </c>
      <c r="AE8" s="1420"/>
      <c r="AF8" s="1402"/>
      <c r="AG8" s="1403"/>
      <c r="AH8" s="1419">
        <f t="shared" si="4"/>
        <v>0.125</v>
      </c>
      <c r="AI8" s="1420"/>
      <c r="AJ8" s="1402"/>
      <c r="AK8" s="1403"/>
      <c r="AL8" s="1419">
        <f t="shared" si="10"/>
        <v>0.125</v>
      </c>
      <c r="AM8" s="1420"/>
      <c r="AN8" s="1402"/>
      <c r="AO8" s="1403"/>
      <c r="AP8" s="1419">
        <f t="shared" si="11"/>
        <v>0.125</v>
      </c>
      <c r="AQ8" s="1420"/>
      <c r="AR8" s="1402"/>
      <c r="AS8" s="1403"/>
      <c r="AT8" s="1402"/>
      <c r="AU8" s="1403"/>
      <c r="AV8" s="1402"/>
      <c r="AW8" s="1403"/>
      <c r="AX8" s="1402"/>
      <c r="AY8" s="1403"/>
      <c r="AZ8" s="1402"/>
      <c r="BA8" s="1403"/>
      <c r="BB8" s="1402"/>
      <c r="BC8" s="1404"/>
      <c r="BD8" s="865">
        <f t="shared" ref="BD8:BD28" si="12">H8+L8+P8+T8+X8+AB8+AF8+AJ8+AN8+AR8+AV8+AZ8</f>
        <v>0.37</v>
      </c>
      <c r="BE8" s="250">
        <f t="shared" si="6"/>
        <v>1</v>
      </c>
      <c r="BF8" s="251">
        <f t="shared" si="7"/>
        <v>0.37</v>
      </c>
      <c r="BG8" s="252">
        <f t="shared" si="5"/>
        <v>1.1099999999999999E-2</v>
      </c>
      <c r="BH8" s="253">
        <f t="shared" si="8"/>
        <v>0.03</v>
      </c>
      <c r="BI8" s="257">
        <f t="shared" si="9"/>
        <v>7.4999999999999997E-3</v>
      </c>
    </row>
    <row r="9" spans="1:61" s="197" customFormat="1" ht="65.25" customHeight="1" thickBot="1" x14ac:dyDescent="0.25">
      <c r="A9" s="1439"/>
      <c r="B9" s="1470"/>
      <c r="C9" s="139" t="s">
        <v>519</v>
      </c>
      <c r="D9" s="199" t="s">
        <v>520</v>
      </c>
      <c r="E9" s="53" t="s">
        <v>521</v>
      </c>
      <c r="F9" s="198">
        <v>0.05</v>
      </c>
      <c r="G9" s="208" t="s">
        <v>522</v>
      </c>
      <c r="H9" s="1453">
        <v>0.125</v>
      </c>
      <c r="I9" s="1454"/>
      <c r="J9" s="1411">
        <f>100%/11</f>
        <v>9.0909090909090912E-2</v>
      </c>
      <c r="K9" s="1412"/>
      <c r="L9" s="1415">
        <v>9.11E-2</v>
      </c>
      <c r="M9" s="1416"/>
      <c r="N9" s="1419">
        <f>J9</f>
        <v>9.0909090909090912E-2</v>
      </c>
      <c r="O9" s="1420"/>
      <c r="P9" s="1805">
        <v>0.28000000000000003</v>
      </c>
      <c r="Q9" s="1806"/>
      <c r="R9" s="1419">
        <f t="shared" si="0"/>
        <v>9.0909090909090912E-2</v>
      </c>
      <c r="S9" s="1420"/>
      <c r="T9" s="1402"/>
      <c r="U9" s="1403"/>
      <c r="V9" s="1411">
        <f t="shared" si="1"/>
        <v>9.0909090909090912E-2</v>
      </c>
      <c r="W9" s="1412"/>
      <c r="X9" s="1402"/>
      <c r="Y9" s="1403"/>
      <c r="Z9" s="1411">
        <f t="shared" si="2"/>
        <v>9.0909090909090912E-2</v>
      </c>
      <c r="AA9" s="1412"/>
      <c r="AB9" s="1402"/>
      <c r="AC9" s="1403"/>
      <c r="AD9" s="1411">
        <f t="shared" si="3"/>
        <v>9.0909090909090912E-2</v>
      </c>
      <c r="AE9" s="1412"/>
      <c r="AF9" s="1402"/>
      <c r="AG9" s="1403"/>
      <c r="AH9" s="1411">
        <f t="shared" si="4"/>
        <v>9.0909090909090912E-2</v>
      </c>
      <c r="AI9" s="1412"/>
      <c r="AJ9" s="1402"/>
      <c r="AK9" s="1403"/>
      <c r="AL9" s="1419">
        <f t="shared" si="10"/>
        <v>9.0909090909090912E-2</v>
      </c>
      <c r="AM9" s="1420"/>
      <c r="AN9" s="1402"/>
      <c r="AO9" s="1403"/>
      <c r="AP9" s="1419">
        <f t="shared" si="11"/>
        <v>9.0909090909090912E-2</v>
      </c>
      <c r="AQ9" s="1420"/>
      <c r="AR9" s="1402"/>
      <c r="AS9" s="1403"/>
      <c r="AT9" s="1419">
        <f>AP9</f>
        <v>9.0909090909090912E-2</v>
      </c>
      <c r="AU9" s="1420"/>
      <c r="AV9" s="1402"/>
      <c r="AW9" s="1403"/>
      <c r="AX9" s="1419">
        <f>AT9</f>
        <v>9.0909090909090912E-2</v>
      </c>
      <c r="AY9" s="1420"/>
      <c r="AZ9" s="1402"/>
      <c r="BA9" s="1403"/>
      <c r="BB9" s="1402"/>
      <c r="BC9" s="1404"/>
      <c r="BD9" s="865">
        <f t="shared" si="12"/>
        <v>0.49610000000000004</v>
      </c>
      <c r="BE9" s="250">
        <f t="shared" si="6"/>
        <v>1.0000000000000002</v>
      </c>
      <c r="BF9" s="251">
        <f t="shared" si="7"/>
        <v>0.49609999999999993</v>
      </c>
      <c r="BG9" s="252">
        <f t="shared" si="5"/>
        <v>2.4804999999999997E-2</v>
      </c>
      <c r="BH9" s="253">
        <f t="shared" si="8"/>
        <v>0.05</v>
      </c>
      <c r="BI9" s="257">
        <f t="shared" si="9"/>
        <v>1.3636363636363634E-2</v>
      </c>
    </row>
    <row r="10" spans="1:61" s="197" customFormat="1" ht="60.75" customHeight="1" thickBot="1" x14ac:dyDescent="0.25">
      <c r="A10" s="1439"/>
      <c r="B10" s="1470"/>
      <c r="C10" s="139" t="s">
        <v>523</v>
      </c>
      <c r="D10" s="199" t="s">
        <v>524</v>
      </c>
      <c r="E10" s="53" t="s">
        <v>521</v>
      </c>
      <c r="F10" s="198">
        <v>0.05</v>
      </c>
      <c r="G10" s="208" t="s">
        <v>525</v>
      </c>
      <c r="H10" s="1413"/>
      <c r="I10" s="1414"/>
      <c r="J10" s="1402"/>
      <c r="K10" s="1403"/>
      <c r="L10" s="1415">
        <v>0.1</v>
      </c>
      <c r="M10" s="1416"/>
      <c r="N10" s="1402"/>
      <c r="O10" s="1403"/>
      <c r="P10" s="1805">
        <v>0.14000000000000001</v>
      </c>
      <c r="Q10" s="1806"/>
      <c r="R10" s="1402"/>
      <c r="S10" s="1403"/>
      <c r="T10" s="1402"/>
      <c r="U10" s="1403"/>
      <c r="V10" s="1402"/>
      <c r="W10" s="1403"/>
      <c r="X10" s="1450"/>
      <c r="Y10" s="1403"/>
      <c r="Z10" s="1451">
        <f>100%/7</f>
        <v>0.14285714285714285</v>
      </c>
      <c r="AA10" s="1452"/>
      <c r="AB10" s="1450"/>
      <c r="AC10" s="1403"/>
      <c r="AD10" s="1411">
        <f t="shared" si="3"/>
        <v>0.14285714285714285</v>
      </c>
      <c r="AE10" s="1412"/>
      <c r="AF10" s="1450"/>
      <c r="AG10" s="1403"/>
      <c r="AH10" s="1411">
        <f t="shared" si="4"/>
        <v>0.14285714285714285</v>
      </c>
      <c r="AI10" s="1412"/>
      <c r="AJ10" s="1450"/>
      <c r="AK10" s="1403"/>
      <c r="AL10" s="1419">
        <f t="shared" si="10"/>
        <v>0.14285714285714285</v>
      </c>
      <c r="AM10" s="1420"/>
      <c r="AN10" s="1450"/>
      <c r="AO10" s="1403"/>
      <c r="AP10" s="1419">
        <f t="shared" si="11"/>
        <v>0.14285714285714285</v>
      </c>
      <c r="AQ10" s="1420"/>
      <c r="AR10" s="1450"/>
      <c r="AS10" s="1403"/>
      <c r="AT10" s="1419">
        <f>AP10</f>
        <v>0.14285714285714285</v>
      </c>
      <c r="AU10" s="1420"/>
      <c r="AV10" s="1450"/>
      <c r="AW10" s="1403"/>
      <c r="AX10" s="1419">
        <f>AT10</f>
        <v>0.14285714285714285</v>
      </c>
      <c r="AY10" s="1420"/>
      <c r="AZ10" s="1402"/>
      <c r="BA10" s="1403"/>
      <c r="BB10" s="1402"/>
      <c r="BC10" s="1404"/>
      <c r="BD10" s="865">
        <f t="shared" si="12"/>
        <v>0.24000000000000002</v>
      </c>
      <c r="BE10" s="250">
        <f t="shared" si="6"/>
        <v>0.99999999999999978</v>
      </c>
      <c r="BF10" s="251">
        <f t="shared" si="7"/>
        <v>0.24000000000000007</v>
      </c>
      <c r="BG10" s="252">
        <f t="shared" si="5"/>
        <v>1.2000000000000004E-2</v>
      </c>
      <c r="BH10" s="253">
        <f t="shared" si="8"/>
        <v>0.05</v>
      </c>
      <c r="BI10" s="257">
        <f t="shared" si="9"/>
        <v>0</v>
      </c>
    </row>
    <row r="11" spans="1:61" s="197" customFormat="1" ht="60.75" customHeight="1" thickBot="1" x14ac:dyDescent="0.25">
      <c r="A11" s="1439"/>
      <c r="B11" s="1470"/>
      <c r="C11" s="200" t="s">
        <v>526</v>
      </c>
      <c r="D11" s="199" t="s">
        <v>527</v>
      </c>
      <c r="E11" s="199" t="s">
        <v>528</v>
      </c>
      <c r="F11" s="198">
        <v>0.02</v>
      </c>
      <c r="G11" s="208" t="s">
        <v>529</v>
      </c>
      <c r="H11" s="1413"/>
      <c r="I11" s="1414"/>
      <c r="J11" s="1402"/>
      <c r="K11" s="1403"/>
      <c r="L11" s="1430"/>
      <c r="M11" s="1431"/>
      <c r="N11" s="1402"/>
      <c r="O11" s="1403"/>
      <c r="P11" s="1402"/>
      <c r="Q11" s="1403"/>
      <c r="R11" s="1402"/>
      <c r="S11" s="1403"/>
      <c r="T11" s="1402"/>
      <c r="U11" s="1403"/>
      <c r="V11" s="1402"/>
      <c r="W11" s="1403"/>
      <c r="X11" s="1402"/>
      <c r="Y11" s="1403"/>
      <c r="Z11" s="1402"/>
      <c r="AA11" s="1403"/>
      <c r="AB11" s="1402"/>
      <c r="AC11" s="1403"/>
      <c r="AD11" s="1402"/>
      <c r="AE11" s="1403"/>
      <c r="AF11" s="1402"/>
      <c r="AG11" s="1403"/>
      <c r="AH11" s="1411">
        <f>100%/5</f>
        <v>0.2</v>
      </c>
      <c r="AI11" s="1412"/>
      <c r="AJ11" s="1402"/>
      <c r="AK11" s="1403"/>
      <c r="AL11" s="1419">
        <f t="shared" si="10"/>
        <v>0.2</v>
      </c>
      <c r="AM11" s="1420"/>
      <c r="AN11" s="1402"/>
      <c r="AO11" s="1403"/>
      <c r="AP11" s="1419">
        <f t="shared" si="11"/>
        <v>0.2</v>
      </c>
      <c r="AQ11" s="1420"/>
      <c r="AR11" s="1402"/>
      <c r="AS11" s="1403"/>
      <c r="AT11" s="1419">
        <f>AP11</f>
        <v>0.2</v>
      </c>
      <c r="AU11" s="1420"/>
      <c r="AV11" s="1402"/>
      <c r="AW11" s="1403"/>
      <c r="AX11" s="1419">
        <f>AT11</f>
        <v>0.2</v>
      </c>
      <c r="AY11" s="1420"/>
      <c r="AZ11" s="1402"/>
      <c r="BA11" s="1403"/>
      <c r="BB11" s="1402"/>
      <c r="BC11" s="1404"/>
      <c r="BD11" s="865">
        <f t="shared" si="12"/>
        <v>0</v>
      </c>
      <c r="BE11" s="250">
        <f t="shared" si="6"/>
        <v>1</v>
      </c>
      <c r="BF11" s="251">
        <f t="shared" si="7"/>
        <v>0</v>
      </c>
      <c r="BG11" s="252">
        <f t="shared" si="5"/>
        <v>0</v>
      </c>
      <c r="BH11" s="253">
        <f t="shared" si="8"/>
        <v>0.02</v>
      </c>
      <c r="BI11" s="257">
        <f t="shared" si="9"/>
        <v>0</v>
      </c>
    </row>
    <row r="12" spans="1:61" s="197" customFormat="1" ht="88.5" customHeight="1" thickBot="1" x14ac:dyDescent="0.25">
      <c r="A12" s="1439"/>
      <c r="B12" s="1470"/>
      <c r="C12" s="139" t="s">
        <v>530</v>
      </c>
      <c r="D12" s="199" t="s">
        <v>531</v>
      </c>
      <c r="E12" s="199" t="s">
        <v>532</v>
      </c>
      <c r="F12" s="198">
        <v>0.03</v>
      </c>
      <c r="G12" s="208" t="s">
        <v>533</v>
      </c>
      <c r="H12" s="1413"/>
      <c r="I12" s="1414"/>
      <c r="J12" s="1402"/>
      <c r="K12" s="1403"/>
      <c r="L12" s="1415">
        <v>9.11E-2</v>
      </c>
      <c r="M12" s="1416"/>
      <c r="N12" s="1411">
        <f>100%/11</f>
        <v>9.0909090909090912E-2</v>
      </c>
      <c r="O12" s="1412"/>
      <c r="P12" s="1805">
        <v>0.09</v>
      </c>
      <c r="Q12" s="1806"/>
      <c r="R12" s="1419">
        <f>N12</f>
        <v>9.0909090909090912E-2</v>
      </c>
      <c r="S12" s="1420"/>
      <c r="T12" s="1402"/>
      <c r="U12" s="1403"/>
      <c r="V12" s="1419">
        <f>R12</f>
        <v>9.0909090909090912E-2</v>
      </c>
      <c r="W12" s="1420"/>
      <c r="X12" s="1402"/>
      <c r="Y12" s="1403"/>
      <c r="Z12" s="1419">
        <f>V12</f>
        <v>9.0909090909090912E-2</v>
      </c>
      <c r="AA12" s="1420"/>
      <c r="AB12" s="1402"/>
      <c r="AC12" s="1403"/>
      <c r="AD12" s="1419">
        <f>Z12</f>
        <v>9.0909090909090912E-2</v>
      </c>
      <c r="AE12" s="1420"/>
      <c r="AF12" s="1402"/>
      <c r="AG12" s="1403"/>
      <c r="AH12" s="1419">
        <f>AD12</f>
        <v>9.0909090909090912E-2</v>
      </c>
      <c r="AI12" s="1420"/>
      <c r="AJ12" s="1402"/>
      <c r="AK12" s="1403"/>
      <c r="AL12" s="1419">
        <f t="shared" si="10"/>
        <v>9.0909090909090912E-2</v>
      </c>
      <c r="AM12" s="1420"/>
      <c r="AN12" s="1402"/>
      <c r="AO12" s="1403"/>
      <c r="AP12" s="1419">
        <f t="shared" si="11"/>
        <v>9.0909090909090912E-2</v>
      </c>
      <c r="AQ12" s="1420"/>
      <c r="AR12" s="1402"/>
      <c r="AS12" s="1403"/>
      <c r="AT12" s="1419">
        <f>AP12</f>
        <v>9.0909090909090912E-2</v>
      </c>
      <c r="AU12" s="1420"/>
      <c r="AV12" s="1402"/>
      <c r="AW12" s="1403"/>
      <c r="AX12" s="1419">
        <f>AT12</f>
        <v>9.0909090909090912E-2</v>
      </c>
      <c r="AY12" s="1420"/>
      <c r="AZ12" s="1402"/>
      <c r="BA12" s="1403"/>
      <c r="BB12" s="1419">
        <f>AX12</f>
        <v>9.0909090909090912E-2</v>
      </c>
      <c r="BC12" s="1421"/>
      <c r="BD12" s="865">
        <f t="shared" si="12"/>
        <v>0.18109999999999998</v>
      </c>
      <c r="BE12" s="250">
        <f t="shared" si="6"/>
        <v>1.0000000000000002</v>
      </c>
      <c r="BF12" s="251">
        <f t="shared" si="7"/>
        <v>0.18109999999999996</v>
      </c>
      <c r="BG12" s="252">
        <f t="shared" si="5"/>
        <v>5.4329999999999986E-3</v>
      </c>
      <c r="BH12" s="253">
        <f t="shared" si="8"/>
        <v>0.03</v>
      </c>
      <c r="BI12" s="257">
        <f t="shared" si="9"/>
        <v>5.4545454545454532E-3</v>
      </c>
    </row>
    <row r="13" spans="1:61" s="197" customFormat="1" ht="63.75" customHeight="1" thickBot="1" x14ac:dyDescent="0.25">
      <c r="A13" s="1439"/>
      <c r="B13" s="1470"/>
      <c r="C13" s="139" t="s">
        <v>534</v>
      </c>
      <c r="D13" s="199" t="s">
        <v>535</v>
      </c>
      <c r="E13" s="199" t="s">
        <v>536</v>
      </c>
      <c r="F13" s="198">
        <v>0.02</v>
      </c>
      <c r="G13" s="208" t="s">
        <v>537</v>
      </c>
      <c r="H13" s="1413"/>
      <c r="I13" s="1414"/>
      <c r="J13" s="1402"/>
      <c r="K13" s="1403"/>
      <c r="L13" s="1430"/>
      <c r="M13" s="1431"/>
      <c r="N13" s="1402"/>
      <c r="O13" s="1403"/>
      <c r="P13" s="1402"/>
      <c r="Q13" s="1403"/>
      <c r="R13" s="1402"/>
      <c r="S13" s="1403"/>
      <c r="T13" s="1402"/>
      <c r="U13" s="1403"/>
      <c r="V13" s="1405">
        <v>1</v>
      </c>
      <c r="W13" s="1406"/>
      <c r="X13" s="1402"/>
      <c r="Y13" s="1403"/>
      <c r="Z13" s="1402"/>
      <c r="AA13" s="1403"/>
      <c r="AB13" s="1402"/>
      <c r="AC13" s="1403"/>
      <c r="AD13" s="1448">
        <v>1</v>
      </c>
      <c r="AE13" s="1449"/>
      <c r="AF13" s="1402"/>
      <c r="AG13" s="1403"/>
      <c r="AH13" s="1402"/>
      <c r="AI13" s="1403"/>
      <c r="AJ13" s="1402"/>
      <c r="AK13" s="1403"/>
      <c r="AL13" s="1402">
        <v>1</v>
      </c>
      <c r="AM13" s="1403"/>
      <c r="AN13" s="1402"/>
      <c r="AO13" s="1403"/>
      <c r="AP13" s="1402"/>
      <c r="AQ13" s="1403"/>
      <c r="AR13" s="1402"/>
      <c r="AS13" s="1403"/>
      <c r="AT13" s="1402">
        <v>1</v>
      </c>
      <c r="AU13" s="1403"/>
      <c r="AV13" s="1402"/>
      <c r="AW13" s="1403"/>
      <c r="AX13" s="1402"/>
      <c r="AY13" s="1403"/>
      <c r="AZ13" s="1402"/>
      <c r="BA13" s="1403"/>
      <c r="BB13" s="1402"/>
      <c r="BC13" s="1404"/>
      <c r="BD13" s="249">
        <f t="shared" si="12"/>
        <v>0</v>
      </c>
      <c r="BE13" s="254">
        <f t="shared" si="6"/>
        <v>4</v>
      </c>
      <c r="BF13" s="251">
        <f t="shared" si="7"/>
        <v>0</v>
      </c>
      <c r="BG13" s="252">
        <f t="shared" si="5"/>
        <v>0</v>
      </c>
      <c r="BH13" s="253">
        <f t="shared" si="8"/>
        <v>0.02</v>
      </c>
      <c r="BI13" s="257">
        <f t="shared" si="9"/>
        <v>0</v>
      </c>
    </row>
    <row r="14" spans="1:61" s="197" customFormat="1" ht="44.25" thickBot="1" x14ac:dyDescent="0.25">
      <c r="A14" s="1439"/>
      <c r="B14" s="1470"/>
      <c r="C14" s="139" t="s">
        <v>538</v>
      </c>
      <c r="D14" s="199" t="s">
        <v>539</v>
      </c>
      <c r="E14" s="199" t="s">
        <v>540</v>
      </c>
      <c r="F14" s="198">
        <v>0.03</v>
      </c>
      <c r="G14" s="209" t="s">
        <v>541</v>
      </c>
      <c r="H14" s="1445">
        <v>1</v>
      </c>
      <c r="I14" s="1446"/>
      <c r="J14" s="1402"/>
      <c r="K14" s="1403"/>
      <c r="L14" s="1409">
        <v>1</v>
      </c>
      <c r="M14" s="1410"/>
      <c r="N14" s="1402"/>
      <c r="O14" s="1403"/>
      <c r="P14" s="1402"/>
      <c r="Q14" s="1403"/>
      <c r="R14" s="1402"/>
      <c r="S14" s="1403"/>
      <c r="T14" s="1402"/>
      <c r="U14" s="1403"/>
      <c r="V14" s="1405">
        <v>1</v>
      </c>
      <c r="W14" s="1406"/>
      <c r="X14" s="1402"/>
      <c r="Y14" s="1403"/>
      <c r="Z14" s="1402"/>
      <c r="AA14" s="1403"/>
      <c r="AB14" s="1402"/>
      <c r="AC14" s="1403"/>
      <c r="AD14" s="1402">
        <v>1</v>
      </c>
      <c r="AE14" s="1403"/>
      <c r="AF14" s="1402"/>
      <c r="AG14" s="1403"/>
      <c r="AH14" s="1402"/>
      <c r="AI14" s="1403"/>
      <c r="AJ14" s="1402"/>
      <c r="AK14" s="1403"/>
      <c r="AL14" s="1402">
        <v>1</v>
      </c>
      <c r="AM14" s="1403"/>
      <c r="AN14" s="1402"/>
      <c r="AO14" s="1403"/>
      <c r="AP14" s="1402"/>
      <c r="AQ14" s="1403"/>
      <c r="AR14" s="1402"/>
      <c r="AS14" s="1403"/>
      <c r="AT14" s="1402">
        <v>1</v>
      </c>
      <c r="AU14" s="1403"/>
      <c r="AV14" s="1402"/>
      <c r="AW14" s="1403"/>
      <c r="AX14" s="1402">
        <v>1</v>
      </c>
      <c r="AY14" s="1403"/>
      <c r="AZ14" s="1402"/>
      <c r="BA14" s="1403"/>
      <c r="BB14" s="1402"/>
      <c r="BC14" s="1404"/>
      <c r="BD14" s="249">
        <f t="shared" si="12"/>
        <v>2</v>
      </c>
      <c r="BE14" s="254">
        <f t="shared" si="6"/>
        <v>5</v>
      </c>
      <c r="BF14" s="251">
        <f t="shared" si="7"/>
        <v>0.4</v>
      </c>
      <c r="BG14" s="252">
        <f t="shared" si="5"/>
        <v>1.2E-2</v>
      </c>
      <c r="BH14" s="253">
        <f t="shared" si="8"/>
        <v>0.03</v>
      </c>
      <c r="BI14" s="257">
        <f t="shared" si="9"/>
        <v>0</v>
      </c>
    </row>
    <row r="15" spans="1:61" s="197" customFormat="1" ht="81.75" customHeight="1" thickBot="1" x14ac:dyDescent="0.25">
      <c r="A15" s="1439" t="s">
        <v>542</v>
      </c>
      <c r="B15" s="1440">
        <v>0.1</v>
      </c>
      <c r="C15" s="200" t="s">
        <v>543</v>
      </c>
      <c r="D15" s="199" t="s">
        <v>544</v>
      </c>
      <c r="E15" s="199" t="s">
        <v>545</v>
      </c>
      <c r="F15" s="198">
        <v>0.05</v>
      </c>
      <c r="G15" s="210" t="s">
        <v>123</v>
      </c>
      <c r="H15" s="1413"/>
      <c r="I15" s="1414"/>
      <c r="J15" s="1441"/>
      <c r="K15" s="1442"/>
      <c r="L15" s="1430"/>
      <c r="M15" s="1431"/>
      <c r="N15" s="1436"/>
      <c r="O15" s="1437"/>
      <c r="P15" s="1417">
        <v>0.1</v>
      </c>
      <c r="Q15" s="1418"/>
      <c r="R15" s="1419">
        <f>100%/5</f>
        <v>0.2</v>
      </c>
      <c r="S15" s="1420"/>
      <c r="T15" s="1402"/>
      <c r="U15" s="1403"/>
      <c r="V15" s="1419">
        <f>R15</f>
        <v>0.2</v>
      </c>
      <c r="W15" s="1420"/>
      <c r="X15" s="1402"/>
      <c r="Y15" s="1403"/>
      <c r="Z15" s="1419">
        <f>V15</f>
        <v>0.2</v>
      </c>
      <c r="AA15" s="1420"/>
      <c r="AB15" s="1402"/>
      <c r="AC15" s="1403"/>
      <c r="AD15" s="1419">
        <f>Z15</f>
        <v>0.2</v>
      </c>
      <c r="AE15" s="1420"/>
      <c r="AF15" s="1402"/>
      <c r="AG15" s="1403"/>
      <c r="AH15" s="1419">
        <f>AD15</f>
        <v>0.2</v>
      </c>
      <c r="AI15" s="1420"/>
      <c r="AJ15" s="1402"/>
      <c r="AK15" s="1403"/>
      <c r="AL15" s="1436"/>
      <c r="AM15" s="1437"/>
      <c r="AN15" s="1402"/>
      <c r="AO15" s="1403"/>
      <c r="AP15" s="1436"/>
      <c r="AQ15" s="1437"/>
      <c r="AR15" s="1402"/>
      <c r="AS15" s="1403"/>
      <c r="AT15" s="1436"/>
      <c r="AU15" s="1437"/>
      <c r="AV15" s="1402"/>
      <c r="AW15" s="1403"/>
      <c r="AX15" s="1436"/>
      <c r="AY15" s="1437"/>
      <c r="AZ15" s="1402"/>
      <c r="BA15" s="1403"/>
      <c r="BB15" s="1436"/>
      <c r="BC15" s="1447"/>
      <c r="BD15" s="865">
        <f t="shared" si="12"/>
        <v>0.1</v>
      </c>
      <c r="BE15" s="250">
        <f t="shared" si="6"/>
        <v>1</v>
      </c>
      <c r="BF15" s="251">
        <f t="shared" si="7"/>
        <v>0.1</v>
      </c>
      <c r="BG15" s="252">
        <f t="shared" si="5"/>
        <v>5.000000000000001E-3</v>
      </c>
      <c r="BH15" s="253">
        <f t="shared" si="8"/>
        <v>0.05</v>
      </c>
      <c r="BI15" s="257">
        <f t="shared" si="9"/>
        <v>1.0000000000000002E-2</v>
      </c>
    </row>
    <row r="16" spans="1:61" s="197" customFormat="1" ht="81.75" customHeight="1" thickBot="1" x14ac:dyDescent="0.25">
      <c r="A16" s="1439"/>
      <c r="B16" s="1440"/>
      <c r="C16" s="200" t="s">
        <v>546</v>
      </c>
      <c r="D16" s="199" t="s">
        <v>547</v>
      </c>
      <c r="E16" s="199" t="s">
        <v>548</v>
      </c>
      <c r="F16" s="198">
        <v>0.05</v>
      </c>
      <c r="G16" s="209">
        <v>2.2000000000000002</v>
      </c>
      <c r="H16" s="1443">
        <v>8.3299999999999999E-2</v>
      </c>
      <c r="I16" s="1444"/>
      <c r="J16" s="1411">
        <f>100%/12</f>
        <v>8.3333333333333329E-2</v>
      </c>
      <c r="K16" s="1412"/>
      <c r="L16" s="1415">
        <v>8.3299999999999999E-2</v>
      </c>
      <c r="M16" s="1416"/>
      <c r="N16" s="1419">
        <f>J16</f>
        <v>8.3333333333333329E-2</v>
      </c>
      <c r="O16" s="1420"/>
      <c r="P16" s="1417">
        <v>8.3299999999999999E-2</v>
      </c>
      <c r="Q16" s="1418"/>
      <c r="R16" s="1419">
        <f>N16</f>
        <v>8.3333333333333329E-2</v>
      </c>
      <c r="S16" s="1420"/>
      <c r="T16" s="1402"/>
      <c r="U16" s="1403"/>
      <c r="V16" s="1419">
        <f>R16</f>
        <v>8.3333333333333329E-2</v>
      </c>
      <c r="W16" s="1420"/>
      <c r="X16" s="1402"/>
      <c r="Y16" s="1403"/>
      <c r="Z16" s="1419">
        <f>V16</f>
        <v>8.3333333333333329E-2</v>
      </c>
      <c r="AA16" s="1420"/>
      <c r="AB16" s="1402"/>
      <c r="AC16" s="1403"/>
      <c r="AD16" s="1419">
        <f>Z16</f>
        <v>8.3333333333333329E-2</v>
      </c>
      <c r="AE16" s="1420"/>
      <c r="AF16" s="1402"/>
      <c r="AG16" s="1403"/>
      <c r="AH16" s="1419">
        <f>AD16</f>
        <v>8.3333333333333329E-2</v>
      </c>
      <c r="AI16" s="1420"/>
      <c r="AJ16" s="1402"/>
      <c r="AK16" s="1403"/>
      <c r="AL16" s="1419">
        <f>AH16</f>
        <v>8.3333333333333329E-2</v>
      </c>
      <c r="AM16" s="1420"/>
      <c r="AN16" s="1402"/>
      <c r="AO16" s="1403"/>
      <c r="AP16" s="1419">
        <f>AL16</f>
        <v>8.3333333333333329E-2</v>
      </c>
      <c r="AQ16" s="1420"/>
      <c r="AR16" s="1402"/>
      <c r="AS16" s="1403"/>
      <c r="AT16" s="1419">
        <f>AP16</f>
        <v>8.3333333333333329E-2</v>
      </c>
      <c r="AU16" s="1420"/>
      <c r="AV16" s="1402"/>
      <c r="AW16" s="1403"/>
      <c r="AX16" s="1419">
        <f>AT16</f>
        <v>8.3333333333333329E-2</v>
      </c>
      <c r="AY16" s="1420"/>
      <c r="AZ16" s="1402"/>
      <c r="BA16" s="1403"/>
      <c r="BB16" s="1419">
        <f>AX16</f>
        <v>8.3333333333333329E-2</v>
      </c>
      <c r="BC16" s="1421"/>
      <c r="BD16" s="865">
        <f t="shared" si="12"/>
        <v>0.24990000000000001</v>
      </c>
      <c r="BE16" s="250">
        <f t="shared" si="6"/>
        <v>1</v>
      </c>
      <c r="BF16" s="251">
        <f t="shared" si="7"/>
        <v>0.24990000000000001</v>
      </c>
      <c r="BG16" s="252">
        <f t="shared" si="5"/>
        <v>1.2495000000000001E-2</v>
      </c>
      <c r="BH16" s="253">
        <f t="shared" si="8"/>
        <v>0.05</v>
      </c>
      <c r="BI16" s="257">
        <f t="shared" si="9"/>
        <v>1.2500000000000001E-2</v>
      </c>
    </row>
    <row r="17" spans="1:61" s="197" customFormat="1" ht="79.5" customHeight="1" thickBot="1" x14ac:dyDescent="0.25">
      <c r="A17" s="1056" t="s">
        <v>549</v>
      </c>
      <c r="B17" s="1033">
        <v>0.3</v>
      </c>
      <c r="C17" s="199" t="s">
        <v>550</v>
      </c>
      <c r="D17" s="199" t="s">
        <v>551</v>
      </c>
      <c r="E17" s="199" t="s">
        <v>552</v>
      </c>
      <c r="F17" s="198">
        <v>0.15</v>
      </c>
      <c r="G17" s="210" t="s">
        <v>198</v>
      </c>
      <c r="H17" s="1432">
        <v>8.3299999999999999E-2</v>
      </c>
      <c r="I17" s="1433"/>
      <c r="J17" s="1411">
        <f>100%/12</f>
        <v>8.3333333333333329E-2</v>
      </c>
      <c r="K17" s="1412"/>
      <c r="L17" s="1432">
        <v>8.3299999999999999E-2</v>
      </c>
      <c r="M17" s="1433"/>
      <c r="N17" s="1419">
        <f>J17</f>
        <v>8.3333333333333329E-2</v>
      </c>
      <c r="O17" s="1420"/>
      <c r="P17" s="1434">
        <v>8.3299999999999999E-2</v>
      </c>
      <c r="Q17" s="1435"/>
      <c r="R17" s="1419">
        <f>N17</f>
        <v>8.3333333333333329E-2</v>
      </c>
      <c r="S17" s="1420"/>
      <c r="T17" s="1428"/>
      <c r="U17" s="1429"/>
      <c r="V17" s="1419">
        <f>R17</f>
        <v>8.3333333333333329E-2</v>
      </c>
      <c r="W17" s="1420"/>
      <c r="X17" s="1428"/>
      <c r="Y17" s="1429"/>
      <c r="Z17" s="1419">
        <f>V17</f>
        <v>8.3333333333333329E-2</v>
      </c>
      <c r="AA17" s="1420"/>
      <c r="AB17" s="1428"/>
      <c r="AC17" s="1429"/>
      <c r="AD17" s="1419">
        <f>Z17</f>
        <v>8.3333333333333329E-2</v>
      </c>
      <c r="AE17" s="1420"/>
      <c r="AF17" s="1428"/>
      <c r="AG17" s="1429"/>
      <c r="AH17" s="1419">
        <f>AD17</f>
        <v>8.3333333333333329E-2</v>
      </c>
      <c r="AI17" s="1420"/>
      <c r="AJ17" s="1428"/>
      <c r="AK17" s="1429"/>
      <c r="AL17" s="1419">
        <f>AH17</f>
        <v>8.3333333333333329E-2</v>
      </c>
      <c r="AM17" s="1420"/>
      <c r="AN17" s="1428"/>
      <c r="AO17" s="1429"/>
      <c r="AP17" s="1419">
        <f>AL17</f>
        <v>8.3333333333333329E-2</v>
      </c>
      <c r="AQ17" s="1420"/>
      <c r="AR17" s="1428"/>
      <c r="AS17" s="1429"/>
      <c r="AT17" s="1419">
        <f>AP17</f>
        <v>8.3333333333333329E-2</v>
      </c>
      <c r="AU17" s="1420"/>
      <c r="AV17" s="1428"/>
      <c r="AW17" s="1429"/>
      <c r="AX17" s="1419">
        <f>AT17</f>
        <v>8.3333333333333329E-2</v>
      </c>
      <c r="AY17" s="1420"/>
      <c r="AZ17" s="1428"/>
      <c r="BA17" s="1429"/>
      <c r="BB17" s="1419">
        <f>AX17</f>
        <v>8.3333333333333329E-2</v>
      </c>
      <c r="BC17" s="1421"/>
      <c r="BD17" s="865">
        <f t="shared" si="12"/>
        <v>0.24990000000000001</v>
      </c>
      <c r="BE17" s="250">
        <f t="shared" si="6"/>
        <v>1</v>
      </c>
      <c r="BF17" s="251">
        <f t="shared" si="7"/>
        <v>0.24990000000000001</v>
      </c>
      <c r="BG17" s="252">
        <f t="shared" si="5"/>
        <v>3.7484999999999997E-2</v>
      </c>
      <c r="BH17" s="253">
        <f t="shared" si="8"/>
        <v>0.15</v>
      </c>
      <c r="BI17" s="257">
        <f t="shared" si="9"/>
        <v>3.7499999999999999E-2</v>
      </c>
    </row>
    <row r="18" spans="1:61" s="197" customFormat="1" ht="72.75" thickBot="1" x14ac:dyDescent="0.25">
      <c r="A18" s="1056"/>
      <c r="B18" s="1033"/>
      <c r="C18" s="199" t="s">
        <v>553</v>
      </c>
      <c r="D18" s="199" t="s">
        <v>554</v>
      </c>
      <c r="E18" s="199" t="s">
        <v>555</v>
      </c>
      <c r="F18" s="198">
        <v>0.05</v>
      </c>
      <c r="G18" s="208" t="s">
        <v>202</v>
      </c>
      <c r="H18" s="1413"/>
      <c r="I18" s="1414"/>
      <c r="J18" s="1402"/>
      <c r="K18" s="1403"/>
      <c r="L18" s="1430"/>
      <c r="M18" s="1431"/>
      <c r="N18" s="1402"/>
      <c r="O18" s="1403"/>
      <c r="P18" s="1402"/>
      <c r="Q18" s="1403"/>
      <c r="R18" s="1402"/>
      <c r="S18" s="1403"/>
      <c r="T18" s="1402"/>
      <c r="U18" s="1403"/>
      <c r="V18" s="1402"/>
      <c r="W18" s="1403"/>
      <c r="X18" s="1402"/>
      <c r="Y18" s="1403"/>
      <c r="Z18" s="1411">
        <f>100%/7</f>
        <v>0.14285714285714285</v>
      </c>
      <c r="AA18" s="1412"/>
      <c r="AB18" s="1402"/>
      <c r="AC18" s="1403"/>
      <c r="AD18" s="1419">
        <f>Z18</f>
        <v>0.14285714285714285</v>
      </c>
      <c r="AE18" s="1420"/>
      <c r="AF18" s="1402"/>
      <c r="AG18" s="1403"/>
      <c r="AH18" s="1419">
        <f>AD18</f>
        <v>0.14285714285714285</v>
      </c>
      <c r="AI18" s="1420"/>
      <c r="AJ18" s="1402"/>
      <c r="AK18" s="1403"/>
      <c r="AL18" s="1419">
        <f>AH18</f>
        <v>0.14285714285714285</v>
      </c>
      <c r="AM18" s="1420"/>
      <c r="AN18" s="1402"/>
      <c r="AO18" s="1403"/>
      <c r="AP18" s="1419">
        <f>AL18</f>
        <v>0.14285714285714285</v>
      </c>
      <c r="AQ18" s="1420"/>
      <c r="AR18" s="1402"/>
      <c r="AS18" s="1403"/>
      <c r="AT18" s="1419">
        <f>AP18</f>
        <v>0.14285714285714285</v>
      </c>
      <c r="AU18" s="1420"/>
      <c r="AV18" s="1402"/>
      <c r="AW18" s="1403"/>
      <c r="AX18" s="1419">
        <f>AT18</f>
        <v>0.14285714285714285</v>
      </c>
      <c r="AY18" s="1420"/>
      <c r="AZ18" s="1402"/>
      <c r="BA18" s="1403"/>
      <c r="BB18" s="1402"/>
      <c r="BC18" s="1404"/>
      <c r="BD18" s="865">
        <f t="shared" si="12"/>
        <v>0</v>
      </c>
      <c r="BE18" s="250">
        <f t="shared" si="6"/>
        <v>0.99999999999999978</v>
      </c>
      <c r="BF18" s="251">
        <f t="shared" si="7"/>
        <v>0</v>
      </c>
      <c r="BG18" s="252">
        <f t="shared" si="5"/>
        <v>0</v>
      </c>
      <c r="BH18" s="253">
        <f t="shared" si="8"/>
        <v>0.05</v>
      </c>
      <c r="BI18" s="257">
        <f t="shared" si="9"/>
        <v>0</v>
      </c>
    </row>
    <row r="19" spans="1:61" s="197" customFormat="1" ht="69.75" customHeight="1" thickBot="1" x14ac:dyDescent="0.25">
      <c r="A19" s="1438"/>
      <c r="B19" s="1254"/>
      <c r="C19" s="201" t="s">
        <v>556</v>
      </c>
      <c r="D19" s="201" t="s">
        <v>557</v>
      </c>
      <c r="E19" s="201" t="s">
        <v>558</v>
      </c>
      <c r="F19" s="202">
        <v>0.1</v>
      </c>
      <c r="G19" s="209" t="s">
        <v>356</v>
      </c>
      <c r="H19" s="1398"/>
      <c r="I19" s="1399"/>
      <c r="J19" s="1402"/>
      <c r="K19" s="1403"/>
      <c r="L19" s="1430"/>
      <c r="M19" s="1431"/>
      <c r="N19" s="1402"/>
      <c r="O19" s="1403"/>
      <c r="P19" s="1402"/>
      <c r="Q19" s="1403"/>
      <c r="R19" s="1402"/>
      <c r="S19" s="1403"/>
      <c r="T19" s="1402"/>
      <c r="U19" s="1403"/>
      <c r="V19" s="1402"/>
      <c r="W19" s="1403"/>
      <c r="X19" s="1402"/>
      <c r="Y19" s="1403"/>
      <c r="Z19" s="1402"/>
      <c r="AA19" s="1403"/>
      <c r="AB19" s="1402"/>
      <c r="AC19" s="1403"/>
      <c r="AD19" s="1402">
        <v>1</v>
      </c>
      <c r="AE19" s="1403"/>
      <c r="AF19" s="1402"/>
      <c r="AG19" s="1403"/>
      <c r="AH19" s="1402"/>
      <c r="AI19" s="1403"/>
      <c r="AJ19" s="1402"/>
      <c r="AK19" s="1403"/>
      <c r="AL19" s="1402"/>
      <c r="AM19" s="1403"/>
      <c r="AN19" s="1402"/>
      <c r="AO19" s="1403"/>
      <c r="AP19" s="1402">
        <v>1</v>
      </c>
      <c r="AQ19" s="1403"/>
      <c r="AR19" s="1402"/>
      <c r="AS19" s="1403"/>
      <c r="AT19" s="1402"/>
      <c r="AU19" s="1403"/>
      <c r="AV19" s="1402"/>
      <c r="AW19" s="1403"/>
      <c r="AX19" s="1402"/>
      <c r="AY19" s="1403"/>
      <c r="AZ19" s="1402"/>
      <c r="BA19" s="1403"/>
      <c r="BB19" s="1402"/>
      <c r="BC19" s="1404"/>
      <c r="BD19" s="249">
        <f t="shared" si="12"/>
        <v>0</v>
      </c>
      <c r="BE19" s="254">
        <f t="shared" si="6"/>
        <v>2</v>
      </c>
      <c r="BF19" s="251">
        <f t="shared" si="7"/>
        <v>0</v>
      </c>
      <c r="BG19" s="252">
        <f t="shared" si="5"/>
        <v>0</v>
      </c>
      <c r="BH19" s="253">
        <f t="shared" si="8"/>
        <v>0.1</v>
      </c>
      <c r="BI19" s="257">
        <f t="shared" si="9"/>
        <v>0</v>
      </c>
    </row>
    <row r="20" spans="1:61" s="197" customFormat="1" ht="85.5" customHeight="1" thickBot="1" x14ac:dyDescent="0.25">
      <c r="A20" s="1424" t="s">
        <v>559</v>
      </c>
      <c r="B20" s="1425">
        <v>0.2</v>
      </c>
      <c r="C20" s="204" t="s">
        <v>560</v>
      </c>
      <c r="D20" s="204" t="s">
        <v>561</v>
      </c>
      <c r="E20" s="204" t="s">
        <v>562</v>
      </c>
      <c r="F20" s="196">
        <v>0.02</v>
      </c>
      <c r="G20" s="210" t="s">
        <v>207</v>
      </c>
      <c r="H20" s="1426"/>
      <c r="I20" s="1427"/>
      <c r="J20" s="1402"/>
      <c r="K20" s="1403"/>
      <c r="L20" s="1415">
        <v>0.17</v>
      </c>
      <c r="M20" s="1416"/>
      <c r="N20" s="1411">
        <f>100%/6</f>
        <v>0.16666666666666666</v>
      </c>
      <c r="O20" s="1412"/>
      <c r="P20" s="1805">
        <v>0.17</v>
      </c>
      <c r="Q20" s="1806"/>
      <c r="R20" s="1419">
        <f>N20</f>
        <v>0.16666666666666666</v>
      </c>
      <c r="S20" s="1420"/>
      <c r="T20" s="1402"/>
      <c r="U20" s="1403"/>
      <c r="V20" s="1419">
        <f>R20</f>
        <v>0.16666666666666666</v>
      </c>
      <c r="W20" s="1420"/>
      <c r="X20" s="1402"/>
      <c r="Y20" s="1403"/>
      <c r="Z20" s="1419">
        <f>V20</f>
        <v>0.16666666666666666</v>
      </c>
      <c r="AA20" s="1420"/>
      <c r="AB20" s="1402"/>
      <c r="AC20" s="1403"/>
      <c r="AD20" s="1419">
        <f>Z20</f>
        <v>0.16666666666666666</v>
      </c>
      <c r="AE20" s="1420"/>
      <c r="AF20" s="1402"/>
      <c r="AG20" s="1403"/>
      <c r="AH20" s="1419">
        <f>AD20</f>
        <v>0.16666666666666666</v>
      </c>
      <c r="AI20" s="1420"/>
      <c r="AJ20" s="1402"/>
      <c r="AK20" s="1403"/>
      <c r="AL20" s="1402"/>
      <c r="AM20" s="1403"/>
      <c r="AN20" s="1402"/>
      <c r="AO20" s="1403"/>
      <c r="AP20" s="1402"/>
      <c r="AQ20" s="1403"/>
      <c r="AR20" s="1402"/>
      <c r="AS20" s="1403"/>
      <c r="AT20" s="1402"/>
      <c r="AU20" s="1403"/>
      <c r="AV20" s="1402"/>
      <c r="AW20" s="1403"/>
      <c r="AX20" s="1402"/>
      <c r="AY20" s="1403"/>
      <c r="AZ20" s="1402"/>
      <c r="BA20" s="1403"/>
      <c r="BB20" s="1402"/>
      <c r="BC20" s="1404"/>
      <c r="BD20" s="865">
        <f t="shared" si="12"/>
        <v>0.34</v>
      </c>
      <c r="BE20" s="250">
        <f t="shared" si="6"/>
        <v>0.99999999999999989</v>
      </c>
      <c r="BF20" s="251">
        <f t="shared" si="7"/>
        <v>0.34000000000000008</v>
      </c>
      <c r="BG20" s="252">
        <f t="shared" si="5"/>
        <v>6.8000000000000014E-3</v>
      </c>
      <c r="BH20" s="253">
        <f t="shared" si="8"/>
        <v>0.02</v>
      </c>
      <c r="BI20" s="257">
        <f t="shared" si="9"/>
        <v>6.666666666666668E-3</v>
      </c>
    </row>
    <row r="21" spans="1:61" s="197" customFormat="1" ht="105.75" customHeight="1" thickBot="1" x14ac:dyDescent="0.25">
      <c r="A21" s="1056"/>
      <c r="B21" s="1033"/>
      <c r="C21" s="199" t="s">
        <v>563</v>
      </c>
      <c r="D21" s="199" t="s">
        <v>564</v>
      </c>
      <c r="E21" s="199" t="s">
        <v>565</v>
      </c>
      <c r="F21" s="198">
        <v>0.02</v>
      </c>
      <c r="G21" s="208" t="s">
        <v>211</v>
      </c>
      <c r="H21" s="1422">
        <v>8.3299999999999999E-2</v>
      </c>
      <c r="I21" s="1423"/>
      <c r="J21" s="1411">
        <f>100%/12</f>
        <v>8.3333333333333329E-2</v>
      </c>
      <c r="K21" s="1412"/>
      <c r="L21" s="1415">
        <v>8.3299999999999999E-2</v>
      </c>
      <c r="M21" s="1416"/>
      <c r="N21" s="1419">
        <f>J21</f>
        <v>8.3333333333333329E-2</v>
      </c>
      <c r="O21" s="1420"/>
      <c r="P21" s="1805">
        <v>8.3299999999999999E-2</v>
      </c>
      <c r="Q21" s="1806"/>
      <c r="R21" s="1419">
        <f>N21</f>
        <v>8.3333333333333329E-2</v>
      </c>
      <c r="S21" s="1420"/>
      <c r="T21" s="1402"/>
      <c r="U21" s="1403"/>
      <c r="V21" s="1419">
        <f>R21</f>
        <v>8.3333333333333329E-2</v>
      </c>
      <c r="W21" s="1420"/>
      <c r="X21" s="1402"/>
      <c r="Y21" s="1403"/>
      <c r="Z21" s="1419">
        <f>V21</f>
        <v>8.3333333333333329E-2</v>
      </c>
      <c r="AA21" s="1420"/>
      <c r="AB21" s="1402"/>
      <c r="AC21" s="1403"/>
      <c r="AD21" s="1419">
        <f>Z21</f>
        <v>8.3333333333333329E-2</v>
      </c>
      <c r="AE21" s="1420"/>
      <c r="AF21" s="1402"/>
      <c r="AG21" s="1403"/>
      <c r="AH21" s="1419">
        <f>AD21</f>
        <v>8.3333333333333329E-2</v>
      </c>
      <c r="AI21" s="1420"/>
      <c r="AJ21" s="1402"/>
      <c r="AK21" s="1403"/>
      <c r="AL21" s="1419">
        <f>AH21</f>
        <v>8.3333333333333329E-2</v>
      </c>
      <c r="AM21" s="1420"/>
      <c r="AN21" s="1402"/>
      <c r="AO21" s="1403"/>
      <c r="AP21" s="1419">
        <f>AL21</f>
        <v>8.3333333333333329E-2</v>
      </c>
      <c r="AQ21" s="1420"/>
      <c r="AR21" s="1402"/>
      <c r="AS21" s="1403"/>
      <c r="AT21" s="1419">
        <f>AP21</f>
        <v>8.3333333333333329E-2</v>
      </c>
      <c r="AU21" s="1420"/>
      <c r="AV21" s="1402"/>
      <c r="AW21" s="1403"/>
      <c r="AX21" s="1419">
        <f>AT21</f>
        <v>8.3333333333333329E-2</v>
      </c>
      <c r="AY21" s="1420"/>
      <c r="AZ21" s="1402"/>
      <c r="BA21" s="1403"/>
      <c r="BB21" s="1419">
        <f>AX21</f>
        <v>8.3333333333333329E-2</v>
      </c>
      <c r="BC21" s="1421"/>
      <c r="BD21" s="865">
        <f t="shared" si="12"/>
        <v>0.24990000000000001</v>
      </c>
      <c r="BE21" s="250">
        <f t="shared" si="6"/>
        <v>1</v>
      </c>
      <c r="BF21" s="251">
        <f t="shared" si="7"/>
        <v>0.24990000000000001</v>
      </c>
      <c r="BG21" s="252">
        <f t="shared" si="5"/>
        <v>4.9980000000000007E-3</v>
      </c>
      <c r="BH21" s="253">
        <f t="shared" si="8"/>
        <v>0.02</v>
      </c>
      <c r="BI21" s="257">
        <f t="shared" si="9"/>
        <v>5.0000000000000001E-3</v>
      </c>
    </row>
    <row r="22" spans="1:61" s="197" customFormat="1" ht="57" customHeight="1" thickBot="1" x14ac:dyDescent="0.25">
      <c r="A22" s="1056"/>
      <c r="B22" s="1033"/>
      <c r="C22" s="199" t="s">
        <v>566</v>
      </c>
      <c r="D22" s="199" t="s">
        <v>567</v>
      </c>
      <c r="E22" s="199" t="s">
        <v>548</v>
      </c>
      <c r="F22" s="198">
        <v>0.03</v>
      </c>
      <c r="G22" s="208" t="s">
        <v>217</v>
      </c>
      <c r="H22" s="1422">
        <v>8.3299999999999999E-2</v>
      </c>
      <c r="I22" s="1423"/>
      <c r="J22" s="1411">
        <f t="shared" ref="J22:J25" si="13">100%/12</f>
        <v>8.3333333333333329E-2</v>
      </c>
      <c r="K22" s="1412"/>
      <c r="L22" s="1415">
        <v>8.3299999999999999E-2</v>
      </c>
      <c r="M22" s="1416"/>
      <c r="N22" s="1419">
        <f t="shared" ref="N22:N25" si="14">J22</f>
        <v>8.3333333333333329E-2</v>
      </c>
      <c r="O22" s="1420"/>
      <c r="P22" s="1805">
        <v>8.1000000000000003E-2</v>
      </c>
      <c r="Q22" s="1806"/>
      <c r="R22" s="1419">
        <f t="shared" ref="R22:R26" si="15">N22</f>
        <v>8.3333333333333329E-2</v>
      </c>
      <c r="S22" s="1420"/>
      <c r="T22" s="1402"/>
      <c r="U22" s="1403"/>
      <c r="V22" s="1419">
        <f t="shared" ref="V22:V26" si="16">R22</f>
        <v>8.3333333333333329E-2</v>
      </c>
      <c r="W22" s="1420"/>
      <c r="X22" s="1402"/>
      <c r="Y22" s="1403"/>
      <c r="Z22" s="1419">
        <f t="shared" ref="Z22:Z26" si="17">V22</f>
        <v>8.3333333333333329E-2</v>
      </c>
      <c r="AA22" s="1420"/>
      <c r="AB22" s="1402"/>
      <c r="AC22" s="1403"/>
      <c r="AD22" s="1419">
        <f t="shared" ref="AD22:AD26" si="18">Z22</f>
        <v>8.3333333333333329E-2</v>
      </c>
      <c r="AE22" s="1420"/>
      <c r="AF22" s="1402"/>
      <c r="AG22" s="1403"/>
      <c r="AH22" s="1419">
        <f t="shared" ref="AH22:AH26" si="19">AD22</f>
        <v>8.3333333333333329E-2</v>
      </c>
      <c r="AI22" s="1420"/>
      <c r="AJ22" s="1402"/>
      <c r="AK22" s="1403"/>
      <c r="AL22" s="1419">
        <f t="shared" ref="AL22:AL26" si="20">AH22</f>
        <v>8.3333333333333329E-2</v>
      </c>
      <c r="AM22" s="1420"/>
      <c r="AN22" s="1402"/>
      <c r="AO22" s="1403"/>
      <c r="AP22" s="1419">
        <f t="shared" ref="AP22:AP26" si="21">AL22</f>
        <v>8.3333333333333329E-2</v>
      </c>
      <c r="AQ22" s="1420"/>
      <c r="AR22" s="1402"/>
      <c r="AS22" s="1403"/>
      <c r="AT22" s="1419">
        <f t="shared" ref="AT22:AT26" si="22">AP22</f>
        <v>8.3333333333333329E-2</v>
      </c>
      <c r="AU22" s="1420"/>
      <c r="AV22" s="1402"/>
      <c r="AW22" s="1403"/>
      <c r="AX22" s="1419">
        <f t="shared" ref="AX22:AX25" si="23">AT22</f>
        <v>8.3333333333333329E-2</v>
      </c>
      <c r="AY22" s="1420"/>
      <c r="AZ22" s="1402"/>
      <c r="BA22" s="1403"/>
      <c r="BB22" s="1419">
        <f t="shared" ref="BB22:BB25" si="24">AX22</f>
        <v>8.3333333333333329E-2</v>
      </c>
      <c r="BC22" s="1421"/>
      <c r="BD22" s="865">
        <f t="shared" si="12"/>
        <v>0.24759999999999999</v>
      </c>
      <c r="BE22" s="250">
        <f t="shared" si="6"/>
        <v>1</v>
      </c>
      <c r="BF22" s="251">
        <f t="shared" si="7"/>
        <v>0.24759999999999999</v>
      </c>
      <c r="BG22" s="252">
        <f t="shared" si="5"/>
        <v>7.4279999999999997E-3</v>
      </c>
      <c r="BH22" s="253">
        <f t="shared" si="8"/>
        <v>0.03</v>
      </c>
      <c r="BI22" s="257">
        <f t="shared" si="9"/>
        <v>7.4999999999999997E-3</v>
      </c>
    </row>
    <row r="23" spans="1:61" s="197" customFormat="1" ht="65.25" customHeight="1" thickBot="1" x14ac:dyDescent="0.25">
      <c r="A23" s="1056"/>
      <c r="B23" s="1033"/>
      <c r="C23" s="199" t="s">
        <v>568</v>
      </c>
      <c r="D23" s="199" t="s">
        <v>569</v>
      </c>
      <c r="E23" s="199" t="s">
        <v>548</v>
      </c>
      <c r="F23" s="198">
        <v>0.02</v>
      </c>
      <c r="G23" s="208" t="s">
        <v>499</v>
      </c>
      <c r="H23" s="1422">
        <v>8.3299999999999999E-2</v>
      </c>
      <c r="I23" s="1423"/>
      <c r="J23" s="1411">
        <f t="shared" si="13"/>
        <v>8.3333333333333329E-2</v>
      </c>
      <c r="K23" s="1412"/>
      <c r="L23" s="1415">
        <v>8.3299999999999999E-2</v>
      </c>
      <c r="M23" s="1416"/>
      <c r="N23" s="1419">
        <f t="shared" si="14"/>
        <v>8.3333333333333329E-2</v>
      </c>
      <c r="O23" s="1420"/>
      <c r="P23" s="1805">
        <v>8.3299999999999999E-2</v>
      </c>
      <c r="Q23" s="1806"/>
      <c r="R23" s="1419">
        <f t="shared" si="15"/>
        <v>8.3333333333333329E-2</v>
      </c>
      <c r="S23" s="1420"/>
      <c r="T23" s="1402"/>
      <c r="U23" s="1403"/>
      <c r="V23" s="1419">
        <f t="shared" si="16"/>
        <v>8.3333333333333329E-2</v>
      </c>
      <c r="W23" s="1420"/>
      <c r="X23" s="1402"/>
      <c r="Y23" s="1403"/>
      <c r="Z23" s="1419">
        <f t="shared" si="17"/>
        <v>8.3333333333333329E-2</v>
      </c>
      <c r="AA23" s="1420"/>
      <c r="AB23" s="1402"/>
      <c r="AC23" s="1403"/>
      <c r="AD23" s="1419">
        <f t="shared" si="18"/>
        <v>8.3333333333333329E-2</v>
      </c>
      <c r="AE23" s="1420"/>
      <c r="AF23" s="1402"/>
      <c r="AG23" s="1403"/>
      <c r="AH23" s="1419">
        <f t="shared" si="19"/>
        <v>8.3333333333333329E-2</v>
      </c>
      <c r="AI23" s="1420"/>
      <c r="AJ23" s="1402"/>
      <c r="AK23" s="1403"/>
      <c r="AL23" s="1419">
        <f t="shared" si="20"/>
        <v>8.3333333333333329E-2</v>
      </c>
      <c r="AM23" s="1420"/>
      <c r="AN23" s="1402"/>
      <c r="AO23" s="1403"/>
      <c r="AP23" s="1419">
        <f t="shared" si="21"/>
        <v>8.3333333333333329E-2</v>
      </c>
      <c r="AQ23" s="1420"/>
      <c r="AR23" s="1402"/>
      <c r="AS23" s="1403"/>
      <c r="AT23" s="1419">
        <f t="shared" si="22"/>
        <v>8.3333333333333329E-2</v>
      </c>
      <c r="AU23" s="1420"/>
      <c r="AV23" s="1402"/>
      <c r="AW23" s="1403"/>
      <c r="AX23" s="1419">
        <f t="shared" si="23"/>
        <v>8.3333333333333329E-2</v>
      </c>
      <c r="AY23" s="1420"/>
      <c r="AZ23" s="1402"/>
      <c r="BA23" s="1403"/>
      <c r="BB23" s="1419">
        <f t="shared" si="24"/>
        <v>8.3333333333333329E-2</v>
      </c>
      <c r="BC23" s="1421"/>
      <c r="BD23" s="865">
        <f t="shared" si="12"/>
        <v>0.24990000000000001</v>
      </c>
      <c r="BE23" s="250">
        <f t="shared" si="6"/>
        <v>1</v>
      </c>
      <c r="BF23" s="251">
        <f t="shared" si="7"/>
        <v>0.24990000000000001</v>
      </c>
      <c r="BG23" s="252">
        <f t="shared" si="5"/>
        <v>4.9980000000000007E-3</v>
      </c>
      <c r="BH23" s="253">
        <f t="shared" si="8"/>
        <v>0.02</v>
      </c>
      <c r="BI23" s="257">
        <f t="shared" si="9"/>
        <v>5.0000000000000001E-3</v>
      </c>
    </row>
    <row r="24" spans="1:61" s="197" customFormat="1" ht="65.25" customHeight="1" thickBot="1" x14ac:dyDescent="0.25">
      <c r="A24" s="1056"/>
      <c r="B24" s="1033"/>
      <c r="C24" s="199" t="s">
        <v>570</v>
      </c>
      <c r="D24" s="199" t="s">
        <v>571</v>
      </c>
      <c r="E24" s="199" t="s">
        <v>548</v>
      </c>
      <c r="F24" s="198">
        <v>0.03</v>
      </c>
      <c r="G24" s="208" t="s">
        <v>572</v>
      </c>
      <c r="H24" s="1422">
        <v>8.3299999999999999E-2</v>
      </c>
      <c r="I24" s="1423"/>
      <c r="J24" s="1411">
        <f t="shared" si="13"/>
        <v>8.3333333333333329E-2</v>
      </c>
      <c r="K24" s="1412"/>
      <c r="L24" s="1415">
        <v>8.3299999999999999E-2</v>
      </c>
      <c r="M24" s="1416"/>
      <c r="N24" s="1419">
        <f t="shared" si="14"/>
        <v>8.3333333333333329E-2</v>
      </c>
      <c r="O24" s="1420"/>
      <c r="P24" s="1805">
        <v>8.3299999999999999E-2</v>
      </c>
      <c r="Q24" s="1806"/>
      <c r="R24" s="1419">
        <f t="shared" si="15"/>
        <v>8.3333333333333329E-2</v>
      </c>
      <c r="S24" s="1420"/>
      <c r="T24" s="1402"/>
      <c r="U24" s="1403"/>
      <c r="V24" s="1419">
        <f t="shared" si="16"/>
        <v>8.3333333333333329E-2</v>
      </c>
      <c r="W24" s="1420"/>
      <c r="X24" s="1402"/>
      <c r="Y24" s="1403"/>
      <c r="Z24" s="1419">
        <f t="shared" si="17"/>
        <v>8.3333333333333329E-2</v>
      </c>
      <c r="AA24" s="1420"/>
      <c r="AB24" s="1402"/>
      <c r="AC24" s="1403"/>
      <c r="AD24" s="1419">
        <f t="shared" si="18"/>
        <v>8.3333333333333329E-2</v>
      </c>
      <c r="AE24" s="1420"/>
      <c r="AF24" s="1402"/>
      <c r="AG24" s="1403"/>
      <c r="AH24" s="1419">
        <f t="shared" si="19"/>
        <v>8.3333333333333329E-2</v>
      </c>
      <c r="AI24" s="1420"/>
      <c r="AJ24" s="1402"/>
      <c r="AK24" s="1403"/>
      <c r="AL24" s="1419">
        <f t="shared" si="20"/>
        <v>8.3333333333333329E-2</v>
      </c>
      <c r="AM24" s="1420"/>
      <c r="AN24" s="1402"/>
      <c r="AO24" s="1403"/>
      <c r="AP24" s="1419">
        <f t="shared" si="21"/>
        <v>8.3333333333333329E-2</v>
      </c>
      <c r="AQ24" s="1420"/>
      <c r="AR24" s="1402"/>
      <c r="AS24" s="1403"/>
      <c r="AT24" s="1419">
        <f t="shared" si="22"/>
        <v>8.3333333333333329E-2</v>
      </c>
      <c r="AU24" s="1420"/>
      <c r="AV24" s="1402"/>
      <c r="AW24" s="1403"/>
      <c r="AX24" s="1419">
        <f t="shared" si="23"/>
        <v>8.3333333333333329E-2</v>
      </c>
      <c r="AY24" s="1420"/>
      <c r="AZ24" s="1402"/>
      <c r="BA24" s="1403"/>
      <c r="BB24" s="1419">
        <f t="shared" si="24"/>
        <v>8.3333333333333329E-2</v>
      </c>
      <c r="BC24" s="1421"/>
      <c r="BD24" s="865">
        <f t="shared" si="12"/>
        <v>0.24990000000000001</v>
      </c>
      <c r="BE24" s="250">
        <f t="shared" si="6"/>
        <v>1</v>
      </c>
      <c r="BF24" s="251">
        <f t="shared" si="7"/>
        <v>0.24990000000000001</v>
      </c>
      <c r="BG24" s="252">
        <f t="shared" si="5"/>
        <v>7.4970000000000002E-3</v>
      </c>
      <c r="BH24" s="253">
        <f t="shared" si="8"/>
        <v>0.03</v>
      </c>
      <c r="BI24" s="257">
        <f t="shared" si="9"/>
        <v>7.4999999999999997E-3</v>
      </c>
    </row>
    <row r="25" spans="1:61" s="197" customFormat="1" ht="65.25" customHeight="1" thickBot="1" x14ac:dyDescent="0.25">
      <c r="A25" s="1056"/>
      <c r="B25" s="1033"/>
      <c r="C25" s="199" t="s">
        <v>573</v>
      </c>
      <c r="D25" s="199" t="s">
        <v>574</v>
      </c>
      <c r="E25" s="199" t="s">
        <v>575</v>
      </c>
      <c r="F25" s="198">
        <v>0.03</v>
      </c>
      <c r="G25" s="208" t="s">
        <v>576</v>
      </c>
      <c r="H25" s="1422">
        <v>8.3299999999999999E-2</v>
      </c>
      <c r="I25" s="1423"/>
      <c r="J25" s="1411">
        <f t="shared" si="13"/>
        <v>8.3333333333333329E-2</v>
      </c>
      <c r="K25" s="1412"/>
      <c r="L25" s="1415">
        <v>8.3299999999999999E-2</v>
      </c>
      <c r="M25" s="1416"/>
      <c r="N25" s="1419">
        <f t="shared" si="14"/>
        <v>8.3333333333333329E-2</v>
      </c>
      <c r="O25" s="1420"/>
      <c r="P25" s="1805">
        <v>8.3299999999999999E-2</v>
      </c>
      <c r="Q25" s="1806"/>
      <c r="R25" s="1419">
        <f t="shared" si="15"/>
        <v>8.3333333333333329E-2</v>
      </c>
      <c r="S25" s="1420"/>
      <c r="T25" s="1402"/>
      <c r="U25" s="1403"/>
      <c r="V25" s="1419">
        <f t="shared" si="16"/>
        <v>8.3333333333333329E-2</v>
      </c>
      <c r="W25" s="1420"/>
      <c r="X25" s="1402"/>
      <c r="Y25" s="1403"/>
      <c r="Z25" s="1419">
        <f t="shared" si="17"/>
        <v>8.3333333333333329E-2</v>
      </c>
      <c r="AA25" s="1420"/>
      <c r="AB25" s="1402"/>
      <c r="AC25" s="1403"/>
      <c r="AD25" s="1419">
        <f t="shared" si="18"/>
        <v>8.3333333333333329E-2</v>
      </c>
      <c r="AE25" s="1420"/>
      <c r="AF25" s="1402"/>
      <c r="AG25" s="1403"/>
      <c r="AH25" s="1419">
        <f t="shared" si="19"/>
        <v>8.3333333333333329E-2</v>
      </c>
      <c r="AI25" s="1420"/>
      <c r="AJ25" s="1402"/>
      <c r="AK25" s="1403"/>
      <c r="AL25" s="1419">
        <f t="shared" si="20"/>
        <v>8.3333333333333329E-2</v>
      </c>
      <c r="AM25" s="1420"/>
      <c r="AN25" s="1402"/>
      <c r="AO25" s="1403"/>
      <c r="AP25" s="1419">
        <f t="shared" si="21"/>
        <v>8.3333333333333329E-2</v>
      </c>
      <c r="AQ25" s="1420"/>
      <c r="AR25" s="1402"/>
      <c r="AS25" s="1403"/>
      <c r="AT25" s="1419">
        <f t="shared" si="22"/>
        <v>8.3333333333333329E-2</v>
      </c>
      <c r="AU25" s="1420"/>
      <c r="AV25" s="1402"/>
      <c r="AW25" s="1403"/>
      <c r="AX25" s="1419">
        <f t="shared" si="23"/>
        <v>8.3333333333333329E-2</v>
      </c>
      <c r="AY25" s="1420"/>
      <c r="AZ25" s="1402"/>
      <c r="BA25" s="1403"/>
      <c r="BB25" s="1419">
        <f t="shared" si="24"/>
        <v>8.3333333333333329E-2</v>
      </c>
      <c r="BC25" s="1421"/>
      <c r="BD25" s="865">
        <f t="shared" si="12"/>
        <v>0.24990000000000001</v>
      </c>
      <c r="BE25" s="250">
        <f t="shared" si="6"/>
        <v>1</v>
      </c>
      <c r="BF25" s="251">
        <f t="shared" si="7"/>
        <v>0.24990000000000001</v>
      </c>
      <c r="BG25" s="252">
        <f t="shared" si="5"/>
        <v>7.4970000000000002E-3</v>
      </c>
      <c r="BH25" s="253">
        <f t="shared" si="8"/>
        <v>0.03</v>
      </c>
      <c r="BI25" s="257">
        <f t="shared" si="9"/>
        <v>7.4999999999999997E-3</v>
      </c>
    </row>
    <row r="26" spans="1:61" s="197" customFormat="1" ht="102.75" customHeight="1" thickBot="1" x14ac:dyDescent="0.25">
      <c r="A26" s="1056"/>
      <c r="B26" s="1033"/>
      <c r="C26" s="199" t="s">
        <v>577</v>
      </c>
      <c r="D26" s="199" t="s">
        <v>578</v>
      </c>
      <c r="E26" s="199" t="s">
        <v>579</v>
      </c>
      <c r="F26" s="198">
        <v>0.03</v>
      </c>
      <c r="G26" s="211" t="s">
        <v>580</v>
      </c>
      <c r="H26" s="1413"/>
      <c r="I26" s="1414"/>
      <c r="J26" s="1402"/>
      <c r="K26" s="1403"/>
      <c r="L26" s="1415">
        <v>0.11</v>
      </c>
      <c r="M26" s="1416"/>
      <c r="N26" s="1411">
        <f>100%/9</f>
        <v>0.1111111111111111</v>
      </c>
      <c r="O26" s="1412"/>
      <c r="P26" s="1805">
        <v>0.11</v>
      </c>
      <c r="Q26" s="1806"/>
      <c r="R26" s="1411">
        <f t="shared" si="15"/>
        <v>0.1111111111111111</v>
      </c>
      <c r="S26" s="1412"/>
      <c r="T26" s="1402"/>
      <c r="U26" s="1403"/>
      <c r="V26" s="1411">
        <f t="shared" si="16"/>
        <v>0.1111111111111111</v>
      </c>
      <c r="W26" s="1412"/>
      <c r="X26" s="1402"/>
      <c r="Y26" s="1403"/>
      <c r="Z26" s="1411">
        <f t="shared" si="17"/>
        <v>0.1111111111111111</v>
      </c>
      <c r="AA26" s="1412"/>
      <c r="AB26" s="1402"/>
      <c r="AC26" s="1403"/>
      <c r="AD26" s="1411">
        <f t="shared" si="18"/>
        <v>0.1111111111111111</v>
      </c>
      <c r="AE26" s="1412"/>
      <c r="AF26" s="1402"/>
      <c r="AG26" s="1403"/>
      <c r="AH26" s="1411">
        <f t="shared" si="19"/>
        <v>0.1111111111111111</v>
      </c>
      <c r="AI26" s="1412"/>
      <c r="AJ26" s="1402"/>
      <c r="AK26" s="1403"/>
      <c r="AL26" s="1411">
        <f t="shared" si="20"/>
        <v>0.1111111111111111</v>
      </c>
      <c r="AM26" s="1412"/>
      <c r="AN26" s="1402"/>
      <c r="AO26" s="1403"/>
      <c r="AP26" s="1411">
        <f t="shared" si="21"/>
        <v>0.1111111111111111</v>
      </c>
      <c r="AQ26" s="1412"/>
      <c r="AR26" s="1402"/>
      <c r="AS26" s="1403"/>
      <c r="AT26" s="1411">
        <f t="shared" si="22"/>
        <v>0.1111111111111111</v>
      </c>
      <c r="AU26" s="1412"/>
      <c r="AV26" s="1402"/>
      <c r="AW26" s="1403"/>
      <c r="AX26" s="1402"/>
      <c r="AY26" s="1403"/>
      <c r="AZ26" s="1402"/>
      <c r="BA26" s="1403"/>
      <c r="BB26" s="1402"/>
      <c r="BC26" s="1404"/>
      <c r="BD26" s="865">
        <f t="shared" si="12"/>
        <v>0.22</v>
      </c>
      <c r="BE26" s="250">
        <f t="shared" si="6"/>
        <v>1.0000000000000002</v>
      </c>
      <c r="BF26" s="251">
        <f t="shared" si="7"/>
        <v>0.21999999999999995</v>
      </c>
      <c r="BG26" s="252">
        <f t="shared" si="5"/>
        <v>6.5999999999999982E-3</v>
      </c>
      <c r="BH26" s="253">
        <f t="shared" si="8"/>
        <v>0.03</v>
      </c>
      <c r="BI26" s="257">
        <f t="shared" si="9"/>
        <v>6.6666666666666645E-3</v>
      </c>
    </row>
    <row r="27" spans="1:61" s="197" customFormat="1" ht="75.75" customHeight="1" thickBot="1" x14ac:dyDescent="0.25">
      <c r="A27" s="1056"/>
      <c r="B27" s="1033"/>
      <c r="C27" s="139" t="s">
        <v>582</v>
      </c>
      <c r="D27" s="199" t="s">
        <v>583</v>
      </c>
      <c r="E27" s="199" t="s">
        <v>584</v>
      </c>
      <c r="F27" s="198">
        <v>0.02</v>
      </c>
      <c r="G27" s="208" t="s">
        <v>585</v>
      </c>
      <c r="H27" s="1407">
        <v>1</v>
      </c>
      <c r="I27" s="1408"/>
      <c r="J27" s="1405">
        <v>1</v>
      </c>
      <c r="K27" s="1406"/>
      <c r="L27" s="1409">
        <v>2</v>
      </c>
      <c r="M27" s="1410"/>
      <c r="N27" s="1402"/>
      <c r="O27" s="1403"/>
      <c r="P27" s="1807">
        <v>3</v>
      </c>
      <c r="Q27" s="1808"/>
      <c r="R27" s="1405">
        <v>1</v>
      </c>
      <c r="S27" s="1406"/>
      <c r="T27" s="1402"/>
      <c r="U27" s="1403"/>
      <c r="V27" s="1402"/>
      <c r="W27" s="1403"/>
      <c r="X27" s="1402"/>
      <c r="Y27" s="1403"/>
      <c r="Z27" s="1405">
        <v>1</v>
      </c>
      <c r="AA27" s="1406"/>
      <c r="AB27" s="1402"/>
      <c r="AC27" s="1403"/>
      <c r="AD27" s="1402"/>
      <c r="AE27" s="1403"/>
      <c r="AF27" s="1402"/>
      <c r="AG27" s="1403"/>
      <c r="AH27" s="1405">
        <v>1</v>
      </c>
      <c r="AI27" s="1406"/>
      <c r="AJ27" s="1402"/>
      <c r="AK27" s="1403"/>
      <c r="AL27" s="1402"/>
      <c r="AM27" s="1403"/>
      <c r="AN27" s="1402"/>
      <c r="AO27" s="1403"/>
      <c r="AP27" s="1405">
        <v>1</v>
      </c>
      <c r="AQ27" s="1406"/>
      <c r="AR27" s="1402"/>
      <c r="AS27" s="1403"/>
      <c r="AT27" s="1402"/>
      <c r="AU27" s="1403"/>
      <c r="AV27" s="1402"/>
      <c r="AW27" s="1403"/>
      <c r="AX27" s="1402"/>
      <c r="AY27" s="1403"/>
      <c r="AZ27" s="1402"/>
      <c r="BA27" s="1403"/>
      <c r="BB27" s="1402"/>
      <c r="BC27" s="1404"/>
      <c r="BD27" s="249">
        <f t="shared" si="12"/>
        <v>6</v>
      </c>
      <c r="BE27" s="254">
        <f t="shared" si="6"/>
        <v>5</v>
      </c>
      <c r="BF27" s="251">
        <f t="shared" si="7"/>
        <v>1.2</v>
      </c>
      <c r="BG27" s="252">
        <f t="shared" si="5"/>
        <v>2.4E-2</v>
      </c>
      <c r="BH27" s="253">
        <f t="shared" si="8"/>
        <v>0.02</v>
      </c>
      <c r="BI27" s="257">
        <f t="shared" si="9"/>
        <v>8.0000000000000002E-3</v>
      </c>
    </row>
    <row r="28" spans="1:61" s="197" customFormat="1" ht="65.25" customHeight="1" thickBot="1" x14ac:dyDescent="0.25">
      <c r="A28" s="67" t="s">
        <v>589</v>
      </c>
      <c r="B28" s="116">
        <v>0.05</v>
      </c>
      <c r="C28" s="205" t="s">
        <v>586</v>
      </c>
      <c r="D28" s="205" t="s">
        <v>587</v>
      </c>
      <c r="E28" s="205" t="s">
        <v>588</v>
      </c>
      <c r="F28" s="206">
        <v>0.05</v>
      </c>
      <c r="G28" s="212" t="s">
        <v>222</v>
      </c>
      <c r="H28" s="1398"/>
      <c r="I28" s="1399"/>
      <c r="J28" s="1395"/>
      <c r="K28" s="1396"/>
      <c r="L28" s="1400">
        <v>1</v>
      </c>
      <c r="M28" s="1401"/>
      <c r="N28" s="1395">
        <v>1</v>
      </c>
      <c r="O28" s="1396"/>
      <c r="P28" s="1395"/>
      <c r="Q28" s="1396"/>
      <c r="R28" s="1395"/>
      <c r="S28" s="1396"/>
      <c r="T28" s="1395"/>
      <c r="U28" s="1396"/>
      <c r="V28" s="1395">
        <v>1</v>
      </c>
      <c r="W28" s="1396"/>
      <c r="X28" s="1395"/>
      <c r="Y28" s="1396"/>
      <c r="Z28" s="1395"/>
      <c r="AA28" s="1396"/>
      <c r="AB28" s="1395"/>
      <c r="AC28" s="1396"/>
      <c r="AD28" s="1395">
        <v>1</v>
      </c>
      <c r="AE28" s="1396"/>
      <c r="AF28" s="1395"/>
      <c r="AG28" s="1396"/>
      <c r="AH28" s="1395"/>
      <c r="AI28" s="1396"/>
      <c r="AJ28" s="1395"/>
      <c r="AK28" s="1396"/>
      <c r="AL28" s="1395">
        <v>1</v>
      </c>
      <c r="AM28" s="1396"/>
      <c r="AN28" s="1395"/>
      <c r="AO28" s="1396"/>
      <c r="AP28" s="1395"/>
      <c r="AQ28" s="1396"/>
      <c r="AR28" s="1395"/>
      <c r="AS28" s="1396"/>
      <c r="AT28" s="1395"/>
      <c r="AU28" s="1396"/>
      <c r="AV28" s="1395"/>
      <c r="AW28" s="1396"/>
      <c r="AX28" s="1395"/>
      <c r="AY28" s="1396"/>
      <c r="AZ28" s="1395"/>
      <c r="BA28" s="1396"/>
      <c r="BB28" s="1395"/>
      <c r="BC28" s="1397"/>
      <c r="BD28" s="249">
        <f t="shared" si="12"/>
        <v>1</v>
      </c>
      <c r="BE28" s="254">
        <f t="shared" si="6"/>
        <v>4</v>
      </c>
      <c r="BF28" s="251">
        <f t="shared" si="7"/>
        <v>0.25</v>
      </c>
      <c r="BG28" s="252">
        <f t="shared" si="5"/>
        <v>1.2500000000000001E-2</v>
      </c>
      <c r="BH28" s="253">
        <f t="shared" si="8"/>
        <v>0.05</v>
      </c>
      <c r="BI28" s="257">
        <f t="shared" si="9"/>
        <v>1.2500000000000001E-2</v>
      </c>
    </row>
    <row r="29" spans="1:61" ht="27" customHeight="1" x14ac:dyDescent="0.2">
      <c r="C29" s="203"/>
      <c r="BG29" s="248">
        <f>SUM(BG4:BG28)</f>
        <v>0.24703599999999998</v>
      </c>
      <c r="BI29" s="248">
        <f>SUM(BI4:BI28)</f>
        <v>0.18642424242424244</v>
      </c>
    </row>
    <row r="30" spans="1:61" ht="26.25" thickBot="1" x14ac:dyDescent="0.25">
      <c r="C30" s="876" t="s">
        <v>71</v>
      </c>
      <c r="D30" s="877" t="s">
        <v>73</v>
      </c>
      <c r="E30" s="877" t="s">
        <v>72</v>
      </c>
    </row>
    <row r="31" spans="1:61" ht="30.75" customHeight="1" thickBot="1" x14ac:dyDescent="0.25">
      <c r="C31" s="25" t="str">
        <f>A4</f>
        <v>1. Ampliar la oferta de formación en el modelo asociativo solidario y en temáticas que contribuyan a su desarrollo</v>
      </c>
      <c r="D31" s="86">
        <f>B4</f>
        <v>0.35</v>
      </c>
      <c r="E31" s="213">
        <f>BG4+BG5+BG6+BG7+BG8+BG9+BG10+BG11+BG12+BG13+BG14</f>
        <v>0.10973799999999999</v>
      </c>
      <c r="BF31" s="1466" t="s">
        <v>1438</v>
      </c>
      <c r="BG31" s="1467"/>
    </row>
    <row r="32" spans="1:61" ht="30.75" customHeight="1" x14ac:dyDescent="0.2">
      <c r="C32" s="25" t="str">
        <f>A15</f>
        <v>2. Diseñar un programa de transversalización del sector solidario en la política económica y social del Estado</v>
      </c>
      <c r="D32" s="86">
        <f>B15</f>
        <v>0.1</v>
      </c>
      <c r="E32" s="213">
        <f>BG15+BG16</f>
        <v>1.7495000000000004E-2</v>
      </c>
      <c r="BF32" s="854" t="s">
        <v>830</v>
      </c>
      <c r="BG32" s="855"/>
    </row>
    <row r="33" spans="3:59" ht="30.75" customHeight="1" x14ac:dyDescent="0.2">
      <c r="C33" s="25" t="str">
        <f>A17</f>
        <v xml:space="preserve">3. Desarrollar estudios e investigaciones que aporten al fomento y fortalecimiento del sector solidario </v>
      </c>
      <c r="D33" s="86">
        <f>B17</f>
        <v>0.3</v>
      </c>
      <c r="E33" s="213">
        <f>BG17+BG18+BG19</f>
        <v>3.7484999999999997E-2</v>
      </c>
      <c r="BF33" s="336" t="s">
        <v>831</v>
      </c>
      <c r="BG33" s="336"/>
    </row>
    <row r="34" spans="3:59" ht="37.5" customHeight="1" x14ac:dyDescent="0.2">
      <c r="C34" s="25" t="str">
        <f>A20</f>
        <v>4. Administrar los servicios de cara a los ciudadanos, suministrar información pertinentes y gestionar el tráimite oportunamente</v>
      </c>
      <c r="D34" s="86">
        <f>B20</f>
        <v>0.2</v>
      </c>
      <c r="E34" s="213">
        <f>BG20+BG21+BG22+BG23+BG24+BG25+BG26+BG27</f>
        <v>6.9817999999999991E-2</v>
      </c>
      <c r="BF34" s="336" t="s">
        <v>832</v>
      </c>
      <c r="BG34" s="336"/>
    </row>
    <row r="35" spans="3:59" ht="30.75" customHeight="1" x14ac:dyDescent="0.2">
      <c r="C35" s="25" t="str">
        <f>A28</f>
        <v>5. Contribuir con el avance y mejoramiento del SIGOS</v>
      </c>
      <c r="D35" s="86">
        <f>B28</f>
        <v>0.05</v>
      </c>
      <c r="E35" s="213">
        <f>BG28</f>
        <v>1.2500000000000001E-2</v>
      </c>
      <c r="BF35" s="336" t="s">
        <v>833</v>
      </c>
      <c r="BG35" s="336"/>
    </row>
    <row r="36" spans="3:59" x14ac:dyDescent="0.2">
      <c r="C36" s="878" t="s">
        <v>66</v>
      </c>
      <c r="D36" s="879">
        <f>SUM(D31:D35)</f>
        <v>1</v>
      </c>
      <c r="E36" s="884">
        <f>SUM(E31:E35)</f>
        <v>0.24703599999999998</v>
      </c>
    </row>
    <row r="37" spans="3:59" x14ac:dyDescent="0.2">
      <c r="C37" s="203"/>
    </row>
    <row r="38" spans="3:59" x14ac:dyDescent="0.2">
      <c r="C38" s="203"/>
    </row>
    <row r="39" spans="3:59" x14ac:dyDescent="0.2">
      <c r="C39" s="203"/>
    </row>
    <row r="40" spans="3:59" x14ac:dyDescent="0.2">
      <c r="C40" s="203"/>
    </row>
    <row r="41" spans="3:59" x14ac:dyDescent="0.2">
      <c r="C41" s="203"/>
    </row>
    <row r="42" spans="3:59" ht="25.5" x14ac:dyDescent="0.2">
      <c r="C42" s="876" t="s">
        <v>71</v>
      </c>
      <c r="D42" s="877" t="s">
        <v>73</v>
      </c>
      <c r="E42" s="877" t="s">
        <v>72</v>
      </c>
    </row>
    <row r="43" spans="3:59" ht="31.5" customHeight="1" x14ac:dyDescent="0.2">
      <c r="C43" s="25" t="str">
        <f>C31</f>
        <v>1. Ampliar la oferta de formación en el modelo asociativo solidario y en temáticas que contribuyan a su desarrollo</v>
      </c>
      <c r="D43" s="269">
        <f>BI4+BI5+BI6+BI7+BI8+BI9+BI10+BI11+BI12+BI13+BI14</f>
        <v>6.0090909090909091E-2</v>
      </c>
      <c r="E43" s="269">
        <f t="shared" ref="E43" si="25">E31</f>
        <v>0.10973799999999999</v>
      </c>
    </row>
    <row r="44" spans="3:59" ht="40.5" customHeight="1" x14ac:dyDescent="0.2">
      <c r="C44" s="25" t="str">
        <f t="shared" ref="C44:E47" si="26">C32</f>
        <v>2. Diseñar un programa de transversalización del sector solidario en la política económica y social del Estado</v>
      </c>
      <c r="D44" s="269">
        <f>BI15+BI16</f>
        <v>2.2500000000000003E-2</v>
      </c>
      <c r="E44" s="269">
        <f t="shared" si="26"/>
        <v>1.7495000000000004E-2</v>
      </c>
    </row>
    <row r="45" spans="3:59" ht="42.75" customHeight="1" x14ac:dyDescent="0.2">
      <c r="C45" s="25" t="str">
        <f t="shared" si="26"/>
        <v xml:space="preserve">3. Desarrollar estudios e investigaciones que aporten al fomento y fortalecimiento del sector solidario </v>
      </c>
      <c r="D45" s="269">
        <f>BI17+BI18+BI19</f>
        <v>3.7499999999999999E-2</v>
      </c>
      <c r="E45" s="269">
        <f t="shared" si="26"/>
        <v>3.7484999999999997E-2</v>
      </c>
    </row>
    <row r="46" spans="3:59" ht="49.5" customHeight="1" x14ac:dyDescent="0.2">
      <c r="C46" s="25" t="str">
        <f t="shared" si="26"/>
        <v>4. Administrar los servicios de cara a los ciudadanos, suministrar información pertinentes y gestionar el tráimite oportunamente</v>
      </c>
      <c r="D46" s="269">
        <f>BI20+BI21+BI22+BI23+BI24+BI25+BI26+BI27</f>
        <v>5.3833333333333337E-2</v>
      </c>
      <c r="E46" s="269">
        <f t="shared" si="26"/>
        <v>6.9817999999999991E-2</v>
      </c>
    </row>
    <row r="47" spans="3:59" ht="21" customHeight="1" x14ac:dyDescent="0.2">
      <c r="C47" s="25" t="str">
        <f t="shared" si="26"/>
        <v>5. Contribuir con el avance y mejoramiento del SIGOS</v>
      </c>
      <c r="D47" s="269">
        <f>BI28</f>
        <v>1.2500000000000001E-2</v>
      </c>
      <c r="E47" s="269">
        <f t="shared" si="26"/>
        <v>1.2500000000000001E-2</v>
      </c>
    </row>
    <row r="48" spans="3:59" ht="20.25" customHeight="1" x14ac:dyDescent="0.2">
      <c r="C48" s="878" t="s">
        <v>66</v>
      </c>
      <c r="D48" s="883">
        <f>SUM(D43:D47)</f>
        <v>0.18642424242424244</v>
      </c>
      <c r="E48" s="883">
        <f>SUM(E43:E47)</f>
        <v>0.24703599999999998</v>
      </c>
    </row>
    <row r="49" spans="3:3" x14ac:dyDescent="0.2">
      <c r="C49" s="203"/>
    </row>
    <row r="50" spans="3:3" x14ac:dyDescent="0.2">
      <c r="C50" s="203"/>
    </row>
    <row r="51" spans="3:3" x14ac:dyDescent="0.2">
      <c r="C51" s="203"/>
    </row>
    <row r="52" spans="3:3" x14ac:dyDescent="0.2">
      <c r="C52" s="203"/>
    </row>
    <row r="53" spans="3:3" x14ac:dyDescent="0.2">
      <c r="C53" s="203"/>
    </row>
    <row r="54" spans="3:3" x14ac:dyDescent="0.2">
      <c r="C54" s="203"/>
    </row>
    <row r="55" spans="3:3" x14ac:dyDescent="0.2">
      <c r="C55" s="203"/>
    </row>
    <row r="56" spans="3:3" x14ac:dyDescent="0.2">
      <c r="C56" s="203"/>
    </row>
    <row r="57" spans="3:3" x14ac:dyDescent="0.2">
      <c r="C57" s="203"/>
    </row>
  </sheetData>
  <mergeCells count="657">
    <mergeCell ref="BF31:BG31"/>
    <mergeCell ref="AR2:AU2"/>
    <mergeCell ref="AV2:AY2"/>
    <mergeCell ref="AZ2:BC2"/>
    <mergeCell ref="A4:A14"/>
    <mergeCell ref="B4:B14"/>
    <mergeCell ref="H4:I4"/>
    <mergeCell ref="AR3:AS3"/>
    <mergeCell ref="AT3:AU3"/>
    <mergeCell ref="AV3:AW3"/>
    <mergeCell ref="AX3:AY3"/>
    <mergeCell ref="AZ3:BA3"/>
    <mergeCell ref="BB3:BC3"/>
    <mergeCell ref="AF3:AG3"/>
    <mergeCell ref="AH3:AI3"/>
    <mergeCell ref="AJ3:AK3"/>
    <mergeCell ref="AL3:AM3"/>
    <mergeCell ref="AN3:AO3"/>
    <mergeCell ref="AP3:AQ3"/>
    <mergeCell ref="T3:U3"/>
    <mergeCell ref="V3:W3"/>
    <mergeCell ref="X3:Y3"/>
    <mergeCell ref="Z3:AA3"/>
    <mergeCell ref="AB3:AC3"/>
    <mergeCell ref="AD3:AE3"/>
    <mergeCell ref="H3:I3"/>
    <mergeCell ref="J3:K3"/>
    <mergeCell ref="L3:M3"/>
    <mergeCell ref="H5:I5"/>
    <mergeCell ref="J5:K5"/>
    <mergeCell ref="L5:M5"/>
    <mergeCell ref="N5:O5"/>
    <mergeCell ref="P5:Q5"/>
    <mergeCell ref="J4:K4"/>
    <mergeCell ref="L4:M4"/>
    <mergeCell ref="N4:O4"/>
    <mergeCell ref="P4:Q4"/>
    <mergeCell ref="R4:S4"/>
    <mergeCell ref="T4:U4"/>
    <mergeCell ref="V5:W5"/>
    <mergeCell ref="X5:Y5"/>
    <mergeCell ref="Z5:AA5"/>
    <mergeCell ref="AJ4:AK4"/>
    <mergeCell ref="AL4:AM4"/>
    <mergeCell ref="AN4:AO4"/>
    <mergeCell ref="V4:W4"/>
    <mergeCell ref="X4:Y4"/>
    <mergeCell ref="Z4:AA4"/>
    <mergeCell ref="AB4:AC4"/>
    <mergeCell ref="AD4:AE4"/>
    <mergeCell ref="AF4:AG4"/>
    <mergeCell ref="AH4:AI4"/>
    <mergeCell ref="AT4:AU4"/>
    <mergeCell ref="AV4:AW4"/>
    <mergeCell ref="AX4:AY4"/>
    <mergeCell ref="AZ4:BA4"/>
    <mergeCell ref="BB4:BC4"/>
    <mergeCell ref="AP4:AQ4"/>
    <mergeCell ref="AR4:AS4"/>
    <mergeCell ref="BB5:BC5"/>
    <mergeCell ref="AP5:AQ5"/>
    <mergeCell ref="AR5:AS5"/>
    <mergeCell ref="AT5:AU5"/>
    <mergeCell ref="AV5:AW5"/>
    <mergeCell ref="AX5:AY5"/>
    <mergeCell ref="AZ5:BA5"/>
    <mergeCell ref="AJ5:AK5"/>
    <mergeCell ref="AL5:AM5"/>
    <mergeCell ref="AN5:AO5"/>
    <mergeCell ref="H6:I6"/>
    <mergeCell ref="J6:K6"/>
    <mergeCell ref="L6:M6"/>
    <mergeCell ref="N6:O6"/>
    <mergeCell ref="P6:Q6"/>
    <mergeCell ref="R6:S6"/>
    <mergeCell ref="T6:U6"/>
    <mergeCell ref="V6:W6"/>
    <mergeCell ref="X6:Y6"/>
    <mergeCell ref="R5:S5"/>
    <mergeCell ref="T5:U5"/>
    <mergeCell ref="AB5:AC5"/>
    <mergeCell ref="AD5:AE5"/>
    <mergeCell ref="AF5:AG5"/>
    <mergeCell ref="AH5:AI5"/>
    <mergeCell ref="AX6:AY6"/>
    <mergeCell ref="AZ6:BA6"/>
    <mergeCell ref="BB6:BC6"/>
    <mergeCell ref="H7:I7"/>
    <mergeCell ref="J7:K7"/>
    <mergeCell ref="L7:M7"/>
    <mergeCell ref="N7:O7"/>
    <mergeCell ref="P7:Q7"/>
    <mergeCell ref="R7:S7"/>
    <mergeCell ref="T7:U7"/>
    <mergeCell ref="AL6:AM6"/>
    <mergeCell ref="AN6:AO6"/>
    <mergeCell ref="AP6:AQ6"/>
    <mergeCell ref="AR6:AS6"/>
    <mergeCell ref="AT6:AU6"/>
    <mergeCell ref="AV6:AW6"/>
    <mergeCell ref="Z6:AA6"/>
    <mergeCell ref="AB6:AC6"/>
    <mergeCell ref="AD6:AE6"/>
    <mergeCell ref="AF6:AG6"/>
    <mergeCell ref="AH6:AI6"/>
    <mergeCell ref="AJ6:AK6"/>
    <mergeCell ref="AT7:AU7"/>
    <mergeCell ref="AV7:AW7"/>
    <mergeCell ref="H8:I8"/>
    <mergeCell ref="J8:K8"/>
    <mergeCell ref="L8:M8"/>
    <mergeCell ref="N8:O8"/>
    <mergeCell ref="P8:Q8"/>
    <mergeCell ref="AH7:AI7"/>
    <mergeCell ref="AJ7:AK7"/>
    <mergeCell ref="AL7:AM7"/>
    <mergeCell ref="AN7:AO7"/>
    <mergeCell ref="V7:W7"/>
    <mergeCell ref="X7:Y7"/>
    <mergeCell ref="Z7:AA7"/>
    <mergeCell ref="AB7:AC7"/>
    <mergeCell ref="AD7:AE7"/>
    <mergeCell ref="AF7:AG7"/>
    <mergeCell ref="V8:W8"/>
    <mergeCell ref="X8:Y8"/>
    <mergeCell ref="Z8:AA8"/>
    <mergeCell ref="AB8:AC8"/>
    <mergeCell ref="AF8:AG8"/>
    <mergeCell ref="AH8:AI8"/>
    <mergeCell ref="AJ8:AK8"/>
    <mergeCell ref="AL8:AM8"/>
    <mergeCell ref="AN8:AO8"/>
    <mergeCell ref="AX7:AY7"/>
    <mergeCell ref="AZ7:BA7"/>
    <mergeCell ref="BB7:BC7"/>
    <mergeCell ref="AP7:AQ7"/>
    <mergeCell ref="AR7:AS7"/>
    <mergeCell ref="BB8:BC8"/>
    <mergeCell ref="H9:I9"/>
    <mergeCell ref="J9:K9"/>
    <mergeCell ref="L9:M9"/>
    <mergeCell ref="N9:O9"/>
    <mergeCell ref="P9:Q9"/>
    <mergeCell ref="R9:S9"/>
    <mergeCell ref="T9:U9"/>
    <mergeCell ref="V9:W9"/>
    <mergeCell ref="X9:Y9"/>
    <mergeCell ref="AP8:AQ8"/>
    <mergeCell ref="AR8:AS8"/>
    <mergeCell ref="AT8:AU8"/>
    <mergeCell ref="AV8:AW8"/>
    <mergeCell ref="AX8:AY8"/>
    <mergeCell ref="AZ8:BA8"/>
    <mergeCell ref="AD8:AE8"/>
    <mergeCell ref="R8:S8"/>
    <mergeCell ref="T8:U8"/>
    <mergeCell ref="AX9:AY9"/>
    <mergeCell ref="AZ9:BA9"/>
    <mergeCell ref="BB9:BC9"/>
    <mergeCell ref="H10:I10"/>
    <mergeCell ref="J10:K10"/>
    <mergeCell ref="L10:M10"/>
    <mergeCell ref="N10:O10"/>
    <mergeCell ref="P10:Q10"/>
    <mergeCell ref="R10:S10"/>
    <mergeCell ref="T10:U10"/>
    <mergeCell ref="AL9:AM9"/>
    <mergeCell ref="AN9:AO9"/>
    <mergeCell ref="AP9:AQ9"/>
    <mergeCell ref="AR9:AS9"/>
    <mergeCell ref="AT9:AU9"/>
    <mergeCell ref="AV9:AW9"/>
    <mergeCell ref="Z9:AA9"/>
    <mergeCell ref="AB9:AC9"/>
    <mergeCell ref="AD9:AE9"/>
    <mergeCell ref="AF9:AG9"/>
    <mergeCell ref="AH9:AI9"/>
    <mergeCell ref="AJ9:AK9"/>
    <mergeCell ref="AT10:AU10"/>
    <mergeCell ref="AV10:AW10"/>
    <mergeCell ref="H11:I11"/>
    <mergeCell ref="J11:K11"/>
    <mergeCell ref="L11:M11"/>
    <mergeCell ref="N11:O11"/>
    <mergeCell ref="P11:Q11"/>
    <mergeCell ref="AH10:AI10"/>
    <mergeCell ref="AJ10:AK10"/>
    <mergeCell ref="AL10:AM10"/>
    <mergeCell ref="AN10:AO10"/>
    <mergeCell ref="V10:W10"/>
    <mergeCell ref="X10:Y10"/>
    <mergeCell ref="Z10:AA10"/>
    <mergeCell ref="AB10:AC10"/>
    <mergeCell ref="AD10:AE10"/>
    <mergeCell ref="AF10:AG10"/>
    <mergeCell ref="V11:W11"/>
    <mergeCell ref="X11:Y11"/>
    <mergeCell ref="Z11:AA11"/>
    <mergeCell ref="AB11:AC11"/>
    <mergeCell ref="AF11:AG11"/>
    <mergeCell ref="AH11:AI11"/>
    <mergeCell ref="AJ11:AK11"/>
    <mergeCell ref="AL11:AM11"/>
    <mergeCell ref="AN11:AO11"/>
    <mergeCell ref="AX10:AY10"/>
    <mergeCell ref="AZ10:BA10"/>
    <mergeCell ref="BB10:BC10"/>
    <mergeCell ref="AP10:AQ10"/>
    <mergeCell ref="AR10:AS10"/>
    <mergeCell ref="BB11:BC11"/>
    <mergeCell ref="H12:I12"/>
    <mergeCell ref="J12:K12"/>
    <mergeCell ref="L12:M12"/>
    <mergeCell ref="N12:O12"/>
    <mergeCell ref="P12:Q12"/>
    <mergeCell ref="R12:S12"/>
    <mergeCell ref="T12:U12"/>
    <mergeCell ref="V12:W12"/>
    <mergeCell ref="X12:Y12"/>
    <mergeCell ref="AP11:AQ11"/>
    <mergeCell ref="AR11:AS11"/>
    <mergeCell ref="AT11:AU11"/>
    <mergeCell ref="AV11:AW11"/>
    <mergeCell ref="AX11:AY11"/>
    <mergeCell ref="AZ11:BA11"/>
    <mergeCell ref="AD11:AE11"/>
    <mergeCell ref="R11:S11"/>
    <mergeCell ref="T11:U11"/>
    <mergeCell ref="AZ12:BA12"/>
    <mergeCell ref="BB12:BC12"/>
    <mergeCell ref="H13:I13"/>
    <mergeCell ref="J13:K13"/>
    <mergeCell ref="L13:M13"/>
    <mergeCell ref="N13:O13"/>
    <mergeCell ref="P13:Q13"/>
    <mergeCell ref="R13:S13"/>
    <mergeCell ref="T13:U13"/>
    <mergeCell ref="AL12:AM12"/>
    <mergeCell ref="AN12:AO12"/>
    <mergeCell ref="AP12:AQ12"/>
    <mergeCell ref="AR12:AS12"/>
    <mergeCell ref="AT12:AU12"/>
    <mergeCell ref="AV12:AW12"/>
    <mergeCell ref="Z12:AA12"/>
    <mergeCell ref="AB12:AC12"/>
    <mergeCell ref="AD12:AE12"/>
    <mergeCell ref="AF12:AG12"/>
    <mergeCell ref="AH12:AI12"/>
    <mergeCell ref="AJ12:AK12"/>
    <mergeCell ref="BB13:BC13"/>
    <mergeCell ref="AP13:AQ13"/>
    <mergeCell ref="AZ13:BA13"/>
    <mergeCell ref="AN13:AO13"/>
    <mergeCell ref="AX12:AY12"/>
    <mergeCell ref="AR13:AS13"/>
    <mergeCell ref="V13:W13"/>
    <mergeCell ref="X13:Y13"/>
    <mergeCell ref="Z13:AA13"/>
    <mergeCell ref="AB13:AC13"/>
    <mergeCell ref="AD13:AE13"/>
    <mergeCell ref="AF13:AG13"/>
    <mergeCell ref="AT13:AU13"/>
    <mergeCell ref="AV13:AW13"/>
    <mergeCell ref="AX13:AY13"/>
    <mergeCell ref="AF15:AG15"/>
    <mergeCell ref="AH15:AI15"/>
    <mergeCell ref="J14:K14"/>
    <mergeCell ref="L14:M14"/>
    <mergeCell ref="N14:O14"/>
    <mergeCell ref="P14:Q14"/>
    <mergeCell ref="AH13:AI13"/>
    <mergeCell ref="AJ13:AK13"/>
    <mergeCell ref="AL13:AM13"/>
    <mergeCell ref="T14:U14"/>
    <mergeCell ref="V14:W14"/>
    <mergeCell ref="X14:Y14"/>
    <mergeCell ref="Z14:AA14"/>
    <mergeCell ref="AB14:AC14"/>
    <mergeCell ref="BB14:BC14"/>
    <mergeCell ref="AV14:AW14"/>
    <mergeCell ref="AX14:AY14"/>
    <mergeCell ref="AZ14:BA14"/>
    <mergeCell ref="AZ15:BA15"/>
    <mergeCell ref="BB15:BC15"/>
    <mergeCell ref="AN15:AO15"/>
    <mergeCell ref="AP15:AQ15"/>
    <mergeCell ref="AR15:AS15"/>
    <mergeCell ref="AT15:AU15"/>
    <mergeCell ref="AV15:AW15"/>
    <mergeCell ref="AX15:AY15"/>
    <mergeCell ref="B15:B16"/>
    <mergeCell ref="H15:I15"/>
    <mergeCell ref="J15:K15"/>
    <mergeCell ref="L15:M15"/>
    <mergeCell ref="N15:O15"/>
    <mergeCell ref="AP14:AQ14"/>
    <mergeCell ref="AR14:AS14"/>
    <mergeCell ref="AT14:AU14"/>
    <mergeCell ref="AD14:AE14"/>
    <mergeCell ref="AF14:AG14"/>
    <mergeCell ref="AH14:AI14"/>
    <mergeCell ref="AJ14:AK14"/>
    <mergeCell ref="AL14:AM14"/>
    <mergeCell ref="AN14:AO14"/>
    <mergeCell ref="R14:S14"/>
    <mergeCell ref="H16:I16"/>
    <mergeCell ref="J16:K16"/>
    <mergeCell ref="L16:M16"/>
    <mergeCell ref="N16:O16"/>
    <mergeCell ref="P16:Q16"/>
    <mergeCell ref="R16:S16"/>
    <mergeCell ref="T16:U16"/>
    <mergeCell ref="V16:W16"/>
    <mergeCell ref="H14:I14"/>
    <mergeCell ref="AV16:AW16"/>
    <mergeCell ref="AX16:AY16"/>
    <mergeCell ref="AZ16:BA16"/>
    <mergeCell ref="BB16:BC16"/>
    <mergeCell ref="A17:A19"/>
    <mergeCell ref="B17:B19"/>
    <mergeCell ref="H17:I17"/>
    <mergeCell ref="AJ16:AK16"/>
    <mergeCell ref="AL16:AM16"/>
    <mergeCell ref="AN16:AO16"/>
    <mergeCell ref="AP16:AQ16"/>
    <mergeCell ref="AR16:AS16"/>
    <mergeCell ref="AT16:AU16"/>
    <mergeCell ref="X16:Y16"/>
    <mergeCell ref="Z16:AA16"/>
    <mergeCell ref="AB16:AC16"/>
    <mergeCell ref="AD16:AE16"/>
    <mergeCell ref="AF16:AG16"/>
    <mergeCell ref="AH16:AI16"/>
    <mergeCell ref="H18:I18"/>
    <mergeCell ref="J18:K18"/>
    <mergeCell ref="AB18:AC18"/>
    <mergeCell ref="AF18:AG18"/>
    <mergeCell ref="A15:A16"/>
    <mergeCell ref="AH18:AI18"/>
    <mergeCell ref="AJ18:AK18"/>
    <mergeCell ref="AL18:AM18"/>
    <mergeCell ref="AN18:AO18"/>
    <mergeCell ref="AL15:AM15"/>
    <mergeCell ref="P15:Q15"/>
    <mergeCell ref="R15:S15"/>
    <mergeCell ref="AH17:AI17"/>
    <mergeCell ref="AJ17:AK17"/>
    <mergeCell ref="AL17:AM17"/>
    <mergeCell ref="AN17:AO17"/>
    <mergeCell ref="V17:W17"/>
    <mergeCell ref="X17:Y17"/>
    <mergeCell ref="Z17:AA17"/>
    <mergeCell ref="AB17:AC17"/>
    <mergeCell ref="AD17:AE17"/>
    <mergeCell ref="AF17:AG17"/>
    <mergeCell ref="AJ15:AK15"/>
    <mergeCell ref="T15:U15"/>
    <mergeCell ref="V15:W15"/>
    <mergeCell ref="X15:Y15"/>
    <mergeCell ref="Z15:AA15"/>
    <mergeCell ref="AB15:AC15"/>
    <mergeCell ref="AD15:AE15"/>
    <mergeCell ref="J17:K17"/>
    <mergeCell ref="L17:M17"/>
    <mergeCell ref="N17:O17"/>
    <mergeCell ref="P17:Q17"/>
    <mergeCell ref="R17:S17"/>
    <mergeCell ref="T17:U17"/>
    <mergeCell ref="V18:W18"/>
    <mergeCell ref="X18:Y18"/>
    <mergeCell ref="Z18:AA18"/>
    <mergeCell ref="R18:S18"/>
    <mergeCell ref="T18:U18"/>
    <mergeCell ref="L18:M18"/>
    <mergeCell ref="N18:O18"/>
    <mergeCell ref="P18:Q18"/>
    <mergeCell ref="AT17:AU17"/>
    <mergeCell ref="AV17:AW17"/>
    <mergeCell ref="AX17:AY17"/>
    <mergeCell ref="AZ17:BA17"/>
    <mergeCell ref="BB17:BC17"/>
    <mergeCell ref="AP17:AQ17"/>
    <mergeCell ref="AR17:AS17"/>
    <mergeCell ref="BB18:BC18"/>
    <mergeCell ref="H19:I19"/>
    <mergeCell ref="J19:K19"/>
    <mergeCell ref="L19:M19"/>
    <mergeCell ref="N19:O19"/>
    <mergeCell ref="P19:Q19"/>
    <mergeCell ref="R19:S19"/>
    <mergeCell ref="T19:U19"/>
    <mergeCell ref="V19:W19"/>
    <mergeCell ref="X19:Y19"/>
    <mergeCell ref="AP18:AQ18"/>
    <mergeCell ref="AR18:AS18"/>
    <mergeCell ref="AT18:AU18"/>
    <mergeCell ref="AV18:AW18"/>
    <mergeCell ref="AX18:AY18"/>
    <mergeCell ref="AZ18:BA18"/>
    <mergeCell ref="AD18:AE18"/>
    <mergeCell ref="AX19:AY19"/>
    <mergeCell ref="AZ19:BA19"/>
    <mergeCell ref="BB19:BC19"/>
    <mergeCell ref="A20:A27"/>
    <mergeCell ref="B20:B27"/>
    <mergeCell ref="H20:I20"/>
    <mergeCell ref="J20:K20"/>
    <mergeCell ref="AL19:AM19"/>
    <mergeCell ref="AN19:AO19"/>
    <mergeCell ref="AP19:AQ19"/>
    <mergeCell ref="AR19:AS19"/>
    <mergeCell ref="AT19:AU19"/>
    <mergeCell ref="AV19:AW19"/>
    <mergeCell ref="Z19:AA19"/>
    <mergeCell ref="AB19:AC19"/>
    <mergeCell ref="AD19:AE19"/>
    <mergeCell ref="AF19:AG19"/>
    <mergeCell ref="AH19:AI19"/>
    <mergeCell ref="AJ19:AK19"/>
    <mergeCell ref="BB20:BC20"/>
    <mergeCell ref="H21:I21"/>
    <mergeCell ref="J21:K21"/>
    <mergeCell ref="L21:M21"/>
    <mergeCell ref="N21:O21"/>
    <mergeCell ref="L20:M20"/>
    <mergeCell ref="N20:O20"/>
    <mergeCell ref="P20:Q20"/>
    <mergeCell ref="R20:S20"/>
    <mergeCell ref="T20:U20"/>
    <mergeCell ref="T21:U21"/>
    <mergeCell ref="V21:W21"/>
    <mergeCell ref="X21:Y21"/>
    <mergeCell ref="Z21:AA21"/>
    <mergeCell ref="P21:Q21"/>
    <mergeCell ref="R21:S21"/>
    <mergeCell ref="X20:Y20"/>
    <mergeCell ref="Z20:AA20"/>
    <mergeCell ref="AV20:AW20"/>
    <mergeCell ref="AX20:AY20"/>
    <mergeCell ref="AZ20:BA20"/>
    <mergeCell ref="V20:W20"/>
    <mergeCell ref="AR21:AS21"/>
    <mergeCell ref="AT21:AU21"/>
    <mergeCell ref="AV21:AW21"/>
    <mergeCell ref="AX21:AY21"/>
    <mergeCell ref="AZ21:BA21"/>
    <mergeCell ref="AJ20:AK20"/>
    <mergeCell ref="AL20:AM20"/>
    <mergeCell ref="AN20:AO20"/>
    <mergeCell ref="AP20:AQ20"/>
    <mergeCell ref="AR20:AS20"/>
    <mergeCell ref="AT20:AU20"/>
    <mergeCell ref="AB20:AC20"/>
    <mergeCell ref="AD20:AE20"/>
    <mergeCell ref="AF20:AG20"/>
    <mergeCell ref="AH20:AI20"/>
    <mergeCell ref="AB21:AC21"/>
    <mergeCell ref="AD21:AE21"/>
    <mergeCell ref="BB21:BC21"/>
    <mergeCell ref="AF21:AG21"/>
    <mergeCell ref="AH21:AI21"/>
    <mergeCell ref="AJ21:AK21"/>
    <mergeCell ref="AL21:AM21"/>
    <mergeCell ref="AN21:AO21"/>
    <mergeCell ref="AP21:AQ21"/>
    <mergeCell ref="T22:U22"/>
    <mergeCell ref="V22:W22"/>
    <mergeCell ref="X22:Y22"/>
    <mergeCell ref="Z22:AA22"/>
    <mergeCell ref="AB22:AC22"/>
    <mergeCell ref="AD22:AE22"/>
    <mergeCell ref="AX22:AY22"/>
    <mergeCell ref="AZ22:BA22"/>
    <mergeCell ref="BB22:BC22"/>
    <mergeCell ref="H22:I22"/>
    <mergeCell ref="J22:K22"/>
    <mergeCell ref="L22:M22"/>
    <mergeCell ref="N22:O22"/>
    <mergeCell ref="P22:Q22"/>
    <mergeCell ref="R22:S22"/>
    <mergeCell ref="AR22:AS22"/>
    <mergeCell ref="AT22:AU22"/>
    <mergeCell ref="AV22:AW22"/>
    <mergeCell ref="AF22:AG22"/>
    <mergeCell ref="AH22:AI22"/>
    <mergeCell ref="AJ22:AK22"/>
    <mergeCell ref="AL22:AM22"/>
    <mergeCell ref="AN22:AO22"/>
    <mergeCell ref="AP22:AQ22"/>
    <mergeCell ref="T23:U23"/>
    <mergeCell ref="V23:W23"/>
    <mergeCell ref="X23:Y23"/>
    <mergeCell ref="Z23:AA23"/>
    <mergeCell ref="AB23:AC23"/>
    <mergeCell ref="AD23:AE23"/>
    <mergeCell ref="H23:I23"/>
    <mergeCell ref="J23:K23"/>
    <mergeCell ref="L23:M23"/>
    <mergeCell ref="N23:O23"/>
    <mergeCell ref="P23:Q23"/>
    <mergeCell ref="R23:S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4:U24"/>
    <mergeCell ref="V24:W24"/>
    <mergeCell ref="X24:Y24"/>
    <mergeCell ref="Z24:AA24"/>
    <mergeCell ref="AB24:AC24"/>
    <mergeCell ref="AD24:AE24"/>
    <mergeCell ref="H24:I24"/>
    <mergeCell ref="J24:K24"/>
    <mergeCell ref="L24:M24"/>
    <mergeCell ref="N24:O24"/>
    <mergeCell ref="P24:Q24"/>
    <mergeCell ref="R24:S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5:U25"/>
    <mergeCell ref="V25:W25"/>
    <mergeCell ref="X25:Y25"/>
    <mergeCell ref="Z25:AA25"/>
    <mergeCell ref="AB25:AC25"/>
    <mergeCell ref="AD25:AE25"/>
    <mergeCell ref="H25:I25"/>
    <mergeCell ref="J25:K25"/>
    <mergeCell ref="L25:M25"/>
    <mergeCell ref="N25:O25"/>
    <mergeCell ref="P25:Q25"/>
    <mergeCell ref="R25:S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6:U26"/>
    <mergeCell ref="V26:W26"/>
    <mergeCell ref="X26:Y26"/>
    <mergeCell ref="Z26:AA26"/>
    <mergeCell ref="AB26:AC26"/>
    <mergeCell ref="AD26:AE26"/>
    <mergeCell ref="H26:I26"/>
    <mergeCell ref="J26:K26"/>
    <mergeCell ref="L26:M26"/>
    <mergeCell ref="N26:O26"/>
    <mergeCell ref="P26:Q26"/>
    <mergeCell ref="R26:S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7:U27"/>
    <mergeCell ref="V27:W27"/>
    <mergeCell ref="X27:Y27"/>
    <mergeCell ref="Z27:AA27"/>
    <mergeCell ref="AB27:AC27"/>
    <mergeCell ref="AD27:AE27"/>
    <mergeCell ref="H27:I27"/>
    <mergeCell ref="J27:K27"/>
    <mergeCell ref="L27:M27"/>
    <mergeCell ref="N27:O27"/>
    <mergeCell ref="P27:Q27"/>
    <mergeCell ref="R27:S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T28:U28"/>
    <mergeCell ref="V28:W28"/>
    <mergeCell ref="X28:Y28"/>
    <mergeCell ref="Z28:AA28"/>
    <mergeCell ref="AB28:AC28"/>
    <mergeCell ref="AD28:AE28"/>
    <mergeCell ref="H28:I28"/>
    <mergeCell ref="J28:K28"/>
    <mergeCell ref="L28:M28"/>
    <mergeCell ref="N28:O28"/>
    <mergeCell ref="P28:Q28"/>
    <mergeCell ref="R28:S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BD2:BD3"/>
    <mergeCell ref="BE2:BE3"/>
    <mergeCell ref="BF2:BF3"/>
    <mergeCell ref="BG2:BG3"/>
    <mergeCell ref="BH2:BH3"/>
    <mergeCell ref="A2:A3"/>
    <mergeCell ref="B2:B3"/>
    <mergeCell ref="C2:C3"/>
    <mergeCell ref="D2:D3"/>
    <mergeCell ref="E2:E3"/>
    <mergeCell ref="F2:F3"/>
    <mergeCell ref="G2:G3"/>
    <mergeCell ref="N3:O3"/>
    <mergeCell ref="P3:Q3"/>
    <mergeCell ref="R3:S3"/>
    <mergeCell ref="H2:K2"/>
    <mergeCell ref="L2:O2"/>
    <mergeCell ref="P2:S2"/>
    <mergeCell ref="T2:W2"/>
    <mergeCell ref="X2:AA2"/>
    <mergeCell ref="AB2:AE2"/>
    <mergeCell ref="AF2:AI2"/>
    <mergeCell ref="AJ2:AM2"/>
    <mergeCell ref="AN2:AQ2"/>
  </mergeCells>
  <conditionalFormatting sqref="J4:J28">
    <cfRule type="cellIs" dxfId="147" priority="84" operator="equal">
      <formula>"X"</formula>
    </cfRule>
  </conditionalFormatting>
  <conditionalFormatting sqref="J4:J28">
    <cfRule type="cellIs" dxfId="146" priority="83" operator="equal">
      <formula>1</formula>
    </cfRule>
  </conditionalFormatting>
  <conditionalFormatting sqref="V4:V12 AT4:AT28 AX4:AX28 BB4:BB28 AL4:AL28 AP4:AP28 N4:N28 R4:R28 Z4:Z28 AD4:AD28 AH4:AH28 V15:V28">
    <cfRule type="cellIs" dxfId="145" priority="79" operator="equal">
      <formula>"X"</formula>
    </cfRule>
  </conditionalFormatting>
  <conditionalFormatting sqref="V4:V12 AT4:AT28 AX4:AX28 BB4:BB28 AL4:AL28 AP4:AP28 N4:N28 R4:R28 Z4:Z28 AD4:AD28 AH4:AH28 V15:V28">
    <cfRule type="cellIs" dxfId="144" priority="78" operator="equal">
      <formula>1</formula>
    </cfRule>
  </conditionalFormatting>
  <conditionalFormatting sqref="V13:V14">
    <cfRule type="cellIs" dxfId="143" priority="77" operator="equal">
      <formula>"X"</formula>
    </cfRule>
  </conditionalFormatting>
  <conditionalFormatting sqref="V13:V14">
    <cfRule type="cellIs" dxfId="142" priority="76" operator="equal">
      <formula>1</formula>
    </cfRule>
  </conditionalFormatting>
  <conditionalFormatting sqref="BF4:BF28">
    <cfRule type="cellIs" dxfId="141" priority="75" operator="between">
      <formula>"0.5"</formula>
      <formula>1</formula>
    </cfRule>
  </conditionalFormatting>
  <conditionalFormatting sqref="L4:L13 L18:L27 L15:L16">
    <cfRule type="cellIs" dxfId="140" priority="74" operator="equal">
      <formula>"X"</formula>
    </cfRule>
  </conditionalFormatting>
  <conditionalFormatting sqref="L4:L13 L18:L27 L15:L16">
    <cfRule type="cellIs" dxfId="139" priority="73" operator="equal">
      <formula>1</formula>
    </cfRule>
  </conditionalFormatting>
  <conditionalFormatting sqref="P4:P16 P18:P28">
    <cfRule type="cellIs" dxfId="138" priority="72" operator="equal">
      <formula>"X"</formula>
    </cfRule>
  </conditionalFormatting>
  <conditionalFormatting sqref="P4:P16 P18:P28">
    <cfRule type="cellIs" dxfId="137" priority="71" operator="equal">
      <formula>1</formula>
    </cfRule>
  </conditionalFormatting>
  <conditionalFormatting sqref="T4 T6 T8:T16 T18:T28">
    <cfRule type="cellIs" dxfId="136" priority="70" operator="equal">
      <formula>"X"</formula>
    </cfRule>
  </conditionalFormatting>
  <conditionalFormatting sqref="T4 T6 T8:T16 T18:T28">
    <cfRule type="cellIs" dxfId="135" priority="69" operator="equal">
      <formula>1</formula>
    </cfRule>
  </conditionalFormatting>
  <conditionalFormatting sqref="X4 X6 X8:X16 X18:X28">
    <cfRule type="cellIs" dxfId="134" priority="68" operator="equal">
      <formula>"X"</formula>
    </cfRule>
  </conditionalFormatting>
  <conditionalFormatting sqref="X4 X6 X8:X16 X18:X28">
    <cfRule type="cellIs" dxfId="133" priority="67" operator="equal">
      <formula>1</formula>
    </cfRule>
  </conditionalFormatting>
  <conditionalFormatting sqref="AB4 AB6 AB8:AB9 AB11:AB16 AB18:AB28">
    <cfRule type="cellIs" dxfId="132" priority="66" operator="equal">
      <formula>"X"</formula>
    </cfRule>
  </conditionalFormatting>
  <conditionalFormatting sqref="AB4 AB6 AB8:AB9 AB11:AB16 AB18:AB28">
    <cfRule type="cellIs" dxfId="131" priority="65" operator="equal">
      <formula>1</formula>
    </cfRule>
  </conditionalFormatting>
  <conditionalFormatting sqref="AF4 AF6 AF8:AF9 AF11:AF16 AF18:AF28">
    <cfRule type="cellIs" dxfId="130" priority="64" operator="equal">
      <formula>"X"</formula>
    </cfRule>
  </conditionalFormatting>
  <conditionalFormatting sqref="AF4 AF6 AF8:AF9 AF11:AF16 AF18:AF28">
    <cfRule type="cellIs" dxfId="129" priority="63" operator="equal">
      <formula>1</formula>
    </cfRule>
  </conditionalFormatting>
  <conditionalFormatting sqref="AJ4:AJ6 AJ8:AJ9 AJ11:AJ16 AJ18:AJ28">
    <cfRule type="cellIs" dxfId="128" priority="62" operator="equal">
      <formula>"X"</formula>
    </cfRule>
  </conditionalFormatting>
  <conditionalFormatting sqref="AJ4:AJ6 AJ8:AJ9 AJ11:AJ16 AJ18:AJ28">
    <cfRule type="cellIs" dxfId="127" priority="61" operator="equal">
      <formula>1</formula>
    </cfRule>
  </conditionalFormatting>
  <conditionalFormatting sqref="AN4:AN6 AN8:AN9 AN11:AN16 AN18:AN28">
    <cfRule type="cellIs" dxfId="126" priority="60" operator="equal">
      <formula>"X"</formula>
    </cfRule>
  </conditionalFormatting>
  <conditionalFormatting sqref="AN4:AN6 AN8:AN9 AN11:AN16 AN18:AN28">
    <cfRule type="cellIs" dxfId="125" priority="59" operator="equal">
      <formula>1</formula>
    </cfRule>
  </conditionalFormatting>
  <conditionalFormatting sqref="AR4:AR9 AR11:AR16 AR18:AR28">
    <cfRule type="cellIs" dxfId="124" priority="58" operator="equal">
      <formula>"X"</formula>
    </cfRule>
  </conditionalFormatting>
  <conditionalFormatting sqref="AR4:AR9 AR11:AR16 AR18:AR28">
    <cfRule type="cellIs" dxfId="123" priority="57" operator="equal">
      <formula>1</formula>
    </cfRule>
  </conditionalFormatting>
  <conditionalFormatting sqref="AV4:AV9 AV11:AV16 AV18:AV28">
    <cfRule type="cellIs" dxfId="122" priority="56" operator="equal">
      <formula>"X"</formula>
    </cfRule>
  </conditionalFormatting>
  <conditionalFormatting sqref="AV4:AV9 AV11:AV16 AV18:AV28">
    <cfRule type="cellIs" dxfId="121" priority="55" operator="equal">
      <formula>1</formula>
    </cfRule>
  </conditionalFormatting>
  <conditionalFormatting sqref="AZ4 AZ8:AZ16 AZ18:AZ28">
    <cfRule type="cellIs" dxfId="120" priority="54" operator="equal">
      <formula>"X"</formula>
    </cfRule>
  </conditionalFormatting>
  <conditionalFormatting sqref="AZ4 AZ8:AZ16 AZ18:AZ28">
    <cfRule type="cellIs" dxfId="119" priority="53" operator="equal">
      <formula>1</formula>
    </cfRule>
  </conditionalFormatting>
  <conditionalFormatting sqref="H28 H4:H8 H13:H26">
    <cfRule type="cellIs" dxfId="118" priority="52" operator="equal">
      <formula>"X"</formula>
    </cfRule>
  </conditionalFormatting>
  <conditionalFormatting sqref="H9:H11">
    <cfRule type="cellIs" dxfId="117" priority="51" operator="equal">
      <formula>"X"</formula>
    </cfRule>
  </conditionalFormatting>
  <conditionalFormatting sqref="H12">
    <cfRule type="cellIs" dxfId="116" priority="50" operator="equal">
      <formula>"X"</formula>
    </cfRule>
  </conditionalFormatting>
  <conditionalFormatting sqref="H27">
    <cfRule type="cellIs" dxfId="115" priority="49" operator="equal">
      <formula>"X"</formula>
    </cfRule>
  </conditionalFormatting>
  <conditionalFormatting sqref="AZ5:AZ7">
    <cfRule type="cellIs" dxfId="114" priority="48" operator="equal">
      <formula>"X"</formula>
    </cfRule>
  </conditionalFormatting>
  <conditionalFormatting sqref="AZ5:AZ7">
    <cfRule type="cellIs" dxfId="113" priority="47" operator="equal">
      <formula>1</formula>
    </cfRule>
  </conditionalFormatting>
  <conditionalFormatting sqref="T5">
    <cfRule type="cellIs" dxfId="112" priority="46" operator="equal">
      <formula>"X"</formula>
    </cfRule>
  </conditionalFormatting>
  <conditionalFormatting sqref="T5">
    <cfRule type="cellIs" dxfId="111" priority="45" operator="equal">
      <formula>1</formula>
    </cfRule>
  </conditionalFormatting>
  <conditionalFormatting sqref="X5">
    <cfRule type="cellIs" dxfId="110" priority="44" operator="equal">
      <formula>"X"</formula>
    </cfRule>
  </conditionalFormatting>
  <conditionalFormatting sqref="X5">
    <cfRule type="cellIs" dxfId="109" priority="43" operator="equal">
      <formula>1</formula>
    </cfRule>
  </conditionalFormatting>
  <conditionalFormatting sqref="AB5">
    <cfRule type="cellIs" dxfId="108" priority="42" operator="equal">
      <formula>"X"</formula>
    </cfRule>
  </conditionalFormatting>
  <conditionalFormatting sqref="AB5">
    <cfRule type="cellIs" dxfId="107" priority="41" operator="equal">
      <formula>1</formula>
    </cfRule>
  </conditionalFormatting>
  <conditionalFormatting sqref="AF5">
    <cfRule type="cellIs" dxfId="106" priority="40" operator="equal">
      <formula>"X"</formula>
    </cfRule>
  </conditionalFormatting>
  <conditionalFormatting sqref="AF5">
    <cfRule type="cellIs" dxfId="105" priority="39" operator="equal">
      <formula>1</formula>
    </cfRule>
  </conditionalFormatting>
  <conditionalFormatting sqref="T7">
    <cfRule type="cellIs" dxfId="104" priority="38" operator="equal">
      <formula>"X"</formula>
    </cfRule>
  </conditionalFormatting>
  <conditionalFormatting sqref="T7">
    <cfRule type="cellIs" dxfId="103" priority="37" operator="equal">
      <formula>1</formula>
    </cfRule>
  </conditionalFormatting>
  <conditionalFormatting sqref="X7">
    <cfRule type="cellIs" dxfId="102" priority="36" operator="equal">
      <formula>"X"</formula>
    </cfRule>
  </conditionalFormatting>
  <conditionalFormatting sqref="X7">
    <cfRule type="cellIs" dxfId="101" priority="35" operator="equal">
      <formula>1</formula>
    </cfRule>
  </conditionalFormatting>
  <conditionalFormatting sqref="AB7">
    <cfRule type="cellIs" dxfId="100" priority="34" operator="equal">
      <formula>"X"</formula>
    </cfRule>
  </conditionalFormatting>
  <conditionalFormatting sqref="AB7">
    <cfRule type="cellIs" dxfId="99" priority="33" operator="equal">
      <formula>1</formula>
    </cfRule>
  </conditionalFormatting>
  <conditionalFormatting sqref="AF7">
    <cfRule type="cellIs" dxfId="98" priority="32" operator="equal">
      <formula>"X"</formula>
    </cfRule>
  </conditionalFormatting>
  <conditionalFormatting sqref="AF7">
    <cfRule type="cellIs" dxfId="97" priority="31" operator="equal">
      <formula>1</formula>
    </cfRule>
  </conditionalFormatting>
  <conditionalFormatting sqref="AJ7">
    <cfRule type="cellIs" dxfId="96" priority="30" operator="equal">
      <formula>"X"</formula>
    </cfRule>
  </conditionalFormatting>
  <conditionalFormatting sqref="AJ7">
    <cfRule type="cellIs" dxfId="95" priority="29" operator="equal">
      <formula>1</formula>
    </cfRule>
  </conditionalFormatting>
  <conditionalFormatting sqref="AN7">
    <cfRule type="cellIs" dxfId="94" priority="28" operator="equal">
      <formula>"X"</formula>
    </cfRule>
  </conditionalFormatting>
  <conditionalFormatting sqref="AN7">
    <cfRule type="cellIs" dxfId="93" priority="27" operator="equal">
      <formula>1</formula>
    </cfRule>
  </conditionalFormatting>
  <conditionalFormatting sqref="AB10">
    <cfRule type="cellIs" dxfId="92" priority="26" operator="equal">
      <formula>"X"</formula>
    </cfRule>
  </conditionalFormatting>
  <conditionalFormatting sqref="AB10">
    <cfRule type="cellIs" dxfId="91" priority="25" operator="equal">
      <formula>1</formula>
    </cfRule>
  </conditionalFormatting>
  <conditionalFormatting sqref="AF10">
    <cfRule type="cellIs" dxfId="90" priority="24" operator="equal">
      <formula>"X"</formula>
    </cfRule>
  </conditionalFormatting>
  <conditionalFormatting sqref="AF10">
    <cfRule type="cellIs" dxfId="89" priority="23" operator="equal">
      <formula>1</formula>
    </cfRule>
  </conditionalFormatting>
  <conditionalFormatting sqref="AJ10">
    <cfRule type="cellIs" dxfId="88" priority="22" operator="equal">
      <formula>"X"</formula>
    </cfRule>
  </conditionalFormatting>
  <conditionalFormatting sqref="AJ10">
    <cfRule type="cellIs" dxfId="87" priority="21" operator="equal">
      <formula>1</formula>
    </cfRule>
  </conditionalFormatting>
  <conditionalFormatting sqref="AN10">
    <cfRule type="cellIs" dxfId="86" priority="20" operator="equal">
      <formula>"X"</formula>
    </cfRule>
  </conditionalFormatting>
  <conditionalFormatting sqref="AN10">
    <cfRule type="cellIs" dxfId="85" priority="19" operator="equal">
      <formula>1</formula>
    </cfRule>
  </conditionalFormatting>
  <conditionalFormatting sqref="AR10">
    <cfRule type="cellIs" dxfId="84" priority="18" operator="equal">
      <formula>"X"</formula>
    </cfRule>
  </conditionalFormatting>
  <conditionalFormatting sqref="AR10">
    <cfRule type="cellIs" dxfId="83" priority="17" operator="equal">
      <formula>1</formula>
    </cfRule>
  </conditionalFormatting>
  <conditionalFormatting sqref="AV10">
    <cfRule type="cellIs" dxfId="82" priority="16" operator="equal">
      <formula>"X"</formula>
    </cfRule>
  </conditionalFormatting>
  <conditionalFormatting sqref="AV10">
    <cfRule type="cellIs" dxfId="81" priority="15" operator="equal">
      <formula>1</formula>
    </cfRule>
  </conditionalFormatting>
  <conditionalFormatting sqref="L17">
    <cfRule type="cellIs" dxfId="80" priority="14" operator="equal">
      <formula>"X"</formula>
    </cfRule>
  </conditionalFormatting>
  <conditionalFormatting sqref="P17">
    <cfRule type="cellIs" dxfId="79" priority="13" operator="equal">
      <formula>"X"</formula>
    </cfRule>
  </conditionalFormatting>
  <conditionalFormatting sqref="T17">
    <cfRule type="cellIs" dxfId="78" priority="12" operator="equal">
      <formula>"X"</formula>
    </cfRule>
  </conditionalFormatting>
  <conditionalFormatting sqref="X17">
    <cfRule type="cellIs" dxfId="77" priority="11" operator="equal">
      <formula>"X"</formula>
    </cfRule>
  </conditionalFormatting>
  <conditionalFormatting sqref="AB17">
    <cfRule type="cellIs" dxfId="76" priority="10" operator="equal">
      <formula>"X"</formula>
    </cfRule>
  </conditionalFormatting>
  <conditionalFormatting sqref="AF17">
    <cfRule type="cellIs" dxfId="75" priority="9" operator="equal">
      <formula>"X"</formula>
    </cfRule>
  </conditionalFormatting>
  <conditionalFormatting sqref="AJ17">
    <cfRule type="cellIs" dxfId="74" priority="8" operator="equal">
      <formula>"X"</formula>
    </cfRule>
  </conditionalFormatting>
  <conditionalFormatting sqref="AN17">
    <cfRule type="cellIs" dxfId="73" priority="7" operator="equal">
      <formula>"X"</formula>
    </cfRule>
  </conditionalFormatting>
  <conditionalFormatting sqref="AR17">
    <cfRule type="cellIs" dxfId="72" priority="6" operator="equal">
      <formula>"X"</formula>
    </cfRule>
  </conditionalFormatting>
  <conditionalFormatting sqref="AV17">
    <cfRule type="cellIs" dxfId="71" priority="5" operator="equal">
      <formula>"X"</formula>
    </cfRule>
  </conditionalFormatting>
  <conditionalFormatting sqref="AZ17">
    <cfRule type="cellIs" dxfId="70" priority="4" operator="equal">
      <formula>"X"</formula>
    </cfRule>
  </conditionalFormatting>
  <printOptions horizontalCentered="1" verticalCentered="1"/>
  <pageMargins left="0.35433070866141736" right="0.23622047244094491" top="0.55118110236220474" bottom="0.55118110236220474" header="0.31496062992125984" footer="0.31496062992125984"/>
  <pageSetup paperSize="41" scale="47" orientation="landscape"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N54"/>
  <sheetViews>
    <sheetView topLeftCell="F1" zoomScale="70" zoomScaleNormal="70" zoomScaleSheetLayoutView="100" workbookViewId="0">
      <selection activeCell="BG5" sqref="BG5:BG30"/>
    </sheetView>
  </sheetViews>
  <sheetFormatPr baseColWidth="10" defaultRowHeight="12.75" x14ac:dyDescent="0.2"/>
  <cols>
    <col min="1" max="1" width="34" style="27" customWidth="1"/>
    <col min="2" max="2" width="23" style="2" customWidth="1"/>
    <col min="3" max="3" width="16.42578125" style="2" customWidth="1"/>
    <col min="4" max="4" width="50.140625" style="27" customWidth="1"/>
    <col min="5" max="5" width="32.140625" style="27" customWidth="1"/>
    <col min="6" max="6" width="30.5703125" style="27" customWidth="1"/>
    <col min="7" max="7" width="23.42578125" style="27" customWidth="1"/>
    <col min="8" max="8" width="15.7109375" style="27" customWidth="1"/>
    <col min="9" max="56" width="3.5703125" style="27" customWidth="1"/>
    <col min="57" max="57" width="9.5703125" style="27" customWidth="1"/>
    <col min="58" max="61" width="11.42578125" style="27" customWidth="1"/>
    <col min="62" max="16384" width="11.42578125" style="27"/>
  </cols>
  <sheetData>
    <row r="1" spans="1:62" ht="15" x14ac:dyDescent="0.2">
      <c r="I1" s="28"/>
    </row>
    <row r="2" spans="1:62" ht="15.75" thickBot="1" x14ac:dyDescent="0.25">
      <c r="I2" s="28"/>
    </row>
    <row r="3" spans="1:62" ht="48" customHeight="1" thickBot="1" x14ac:dyDescent="0.25">
      <c r="A3" s="1259" t="s">
        <v>99</v>
      </c>
      <c r="B3" s="1503" t="s">
        <v>100</v>
      </c>
      <c r="C3" s="1505" t="s">
        <v>431</v>
      </c>
      <c r="D3" s="1500" t="s">
        <v>101</v>
      </c>
      <c r="E3" s="1500" t="s">
        <v>102</v>
      </c>
      <c r="F3" s="1500" t="s">
        <v>103</v>
      </c>
      <c r="G3" s="1500" t="s">
        <v>104</v>
      </c>
      <c r="H3" s="1208" t="s">
        <v>6</v>
      </c>
      <c r="I3" s="1215" t="s">
        <v>7</v>
      </c>
      <c r="J3" s="1213"/>
      <c r="K3" s="1213"/>
      <c r="L3" s="1214"/>
      <c r="M3" s="1213" t="s">
        <v>8</v>
      </c>
      <c r="N3" s="1213"/>
      <c r="O3" s="1213"/>
      <c r="P3" s="1214"/>
      <c r="Q3" s="1213" t="s">
        <v>9</v>
      </c>
      <c r="R3" s="1213"/>
      <c r="S3" s="1213"/>
      <c r="T3" s="1214"/>
      <c r="U3" s="1213" t="s">
        <v>10</v>
      </c>
      <c r="V3" s="1213"/>
      <c r="W3" s="1213"/>
      <c r="X3" s="1214"/>
      <c r="Y3" s="1213" t="s">
        <v>11</v>
      </c>
      <c r="Z3" s="1213"/>
      <c r="AA3" s="1213"/>
      <c r="AB3" s="1214"/>
      <c r="AC3" s="1213" t="s">
        <v>12</v>
      </c>
      <c r="AD3" s="1213"/>
      <c r="AE3" s="1213"/>
      <c r="AF3" s="1214"/>
      <c r="AG3" s="1213" t="s">
        <v>13</v>
      </c>
      <c r="AH3" s="1213"/>
      <c r="AI3" s="1213"/>
      <c r="AJ3" s="1214"/>
      <c r="AK3" s="1213" t="s">
        <v>14</v>
      </c>
      <c r="AL3" s="1213"/>
      <c r="AM3" s="1213"/>
      <c r="AN3" s="1214"/>
      <c r="AO3" s="1213" t="s">
        <v>15</v>
      </c>
      <c r="AP3" s="1213"/>
      <c r="AQ3" s="1213"/>
      <c r="AR3" s="1214"/>
      <c r="AS3" s="1213" t="s">
        <v>16</v>
      </c>
      <c r="AT3" s="1213"/>
      <c r="AU3" s="1213"/>
      <c r="AV3" s="1214"/>
      <c r="AW3" s="1213" t="s">
        <v>17</v>
      </c>
      <c r="AX3" s="1213"/>
      <c r="AY3" s="1213"/>
      <c r="AZ3" s="1214"/>
      <c r="BA3" s="1213" t="s">
        <v>18</v>
      </c>
      <c r="BB3" s="1213"/>
      <c r="BC3" s="1213"/>
      <c r="BD3" s="1214"/>
      <c r="BE3" s="1071" t="s">
        <v>66</v>
      </c>
      <c r="BF3" s="1073" t="s">
        <v>67</v>
      </c>
      <c r="BG3" s="1139" t="s">
        <v>68</v>
      </c>
      <c r="BH3" s="1141" t="s">
        <v>69</v>
      </c>
      <c r="BI3" s="1079" t="s">
        <v>241</v>
      </c>
    </row>
    <row r="4" spans="1:62" ht="79.5" customHeight="1" thickBot="1" x14ac:dyDescent="0.25">
      <c r="A4" s="1502"/>
      <c r="B4" s="1504"/>
      <c r="C4" s="1506"/>
      <c r="D4" s="1501"/>
      <c r="E4" s="1501"/>
      <c r="F4" s="1501"/>
      <c r="G4" s="1501"/>
      <c r="H4" s="1499"/>
      <c r="I4" s="1508" t="s">
        <v>19</v>
      </c>
      <c r="J4" s="1494"/>
      <c r="K4" s="1494" t="s">
        <v>20</v>
      </c>
      <c r="L4" s="1494"/>
      <c r="M4" s="1494" t="s">
        <v>19</v>
      </c>
      <c r="N4" s="1494"/>
      <c r="O4" s="1494" t="s">
        <v>20</v>
      </c>
      <c r="P4" s="1494"/>
      <c r="Q4" s="1494" t="s">
        <v>19</v>
      </c>
      <c r="R4" s="1494"/>
      <c r="S4" s="1494" t="s">
        <v>20</v>
      </c>
      <c r="T4" s="1494"/>
      <c r="U4" s="1494" t="s">
        <v>19</v>
      </c>
      <c r="V4" s="1494"/>
      <c r="W4" s="1494" t="s">
        <v>20</v>
      </c>
      <c r="X4" s="1494"/>
      <c r="Y4" s="1494" t="s">
        <v>19</v>
      </c>
      <c r="Z4" s="1494"/>
      <c r="AA4" s="1494" t="s">
        <v>20</v>
      </c>
      <c r="AB4" s="1494"/>
      <c r="AC4" s="1494" t="s">
        <v>19</v>
      </c>
      <c r="AD4" s="1494"/>
      <c r="AE4" s="1494" t="s">
        <v>20</v>
      </c>
      <c r="AF4" s="1494"/>
      <c r="AG4" s="1494" t="s">
        <v>19</v>
      </c>
      <c r="AH4" s="1494"/>
      <c r="AI4" s="1494" t="s">
        <v>20</v>
      </c>
      <c r="AJ4" s="1494"/>
      <c r="AK4" s="1494" t="s">
        <v>19</v>
      </c>
      <c r="AL4" s="1494"/>
      <c r="AM4" s="1494" t="s">
        <v>20</v>
      </c>
      <c r="AN4" s="1494"/>
      <c r="AO4" s="1494" t="s">
        <v>19</v>
      </c>
      <c r="AP4" s="1494"/>
      <c r="AQ4" s="1494" t="s">
        <v>20</v>
      </c>
      <c r="AR4" s="1494"/>
      <c r="AS4" s="1494" t="s">
        <v>19</v>
      </c>
      <c r="AT4" s="1494"/>
      <c r="AU4" s="1494" t="s">
        <v>20</v>
      </c>
      <c r="AV4" s="1494"/>
      <c r="AW4" s="1494" t="s">
        <v>19</v>
      </c>
      <c r="AX4" s="1494"/>
      <c r="AY4" s="1494" t="s">
        <v>20</v>
      </c>
      <c r="AZ4" s="1494"/>
      <c r="BA4" s="1494" t="s">
        <v>19</v>
      </c>
      <c r="BB4" s="1494"/>
      <c r="BC4" s="1494" t="s">
        <v>20</v>
      </c>
      <c r="BD4" s="1509"/>
      <c r="BE4" s="1072"/>
      <c r="BF4" s="1074"/>
      <c r="BG4" s="1140"/>
      <c r="BH4" s="1142"/>
      <c r="BI4" s="1080"/>
    </row>
    <row r="5" spans="1:62" ht="51.75" customHeight="1" thickBot="1" x14ac:dyDescent="0.25">
      <c r="A5" s="1495" t="s">
        <v>590</v>
      </c>
      <c r="B5" s="1498">
        <v>0.1</v>
      </c>
      <c r="C5" s="1498" t="s">
        <v>245</v>
      </c>
      <c r="D5" s="46" t="s">
        <v>591</v>
      </c>
      <c r="E5" s="56" t="s">
        <v>592</v>
      </c>
      <c r="F5" s="56" t="s">
        <v>593</v>
      </c>
      <c r="G5" s="214">
        <v>0.01</v>
      </c>
      <c r="H5" s="215">
        <v>1.1000000000000001</v>
      </c>
      <c r="I5" s="1507">
        <v>0</v>
      </c>
      <c r="J5" s="1234"/>
      <c r="K5" s="1488"/>
      <c r="L5" s="1488"/>
      <c r="M5" s="1490">
        <v>1</v>
      </c>
      <c r="N5" s="1491"/>
      <c r="O5" s="1492">
        <v>1</v>
      </c>
      <c r="P5" s="1493"/>
      <c r="Q5" s="1200"/>
      <c r="R5" s="1201"/>
      <c r="S5" s="1490"/>
      <c r="T5" s="1491"/>
      <c r="U5" s="1200"/>
      <c r="V5" s="1201"/>
      <c r="W5" s="1490"/>
      <c r="X5" s="1491"/>
      <c r="Y5" s="1200"/>
      <c r="Z5" s="1201"/>
      <c r="AA5" s="1490"/>
      <c r="AB5" s="1491"/>
      <c r="AC5" s="1200"/>
      <c r="AD5" s="1201"/>
      <c r="AE5" s="1490"/>
      <c r="AF5" s="1491"/>
      <c r="AG5" s="1200"/>
      <c r="AH5" s="1201"/>
      <c r="AI5" s="1490"/>
      <c r="AJ5" s="1491"/>
      <c r="AK5" s="1200"/>
      <c r="AL5" s="1201"/>
      <c r="AM5" s="1488"/>
      <c r="AN5" s="1488"/>
      <c r="AO5" s="1234"/>
      <c r="AP5" s="1234"/>
      <c r="AQ5" s="1488"/>
      <c r="AR5" s="1488"/>
      <c r="AS5" s="1234"/>
      <c r="AT5" s="1234"/>
      <c r="AU5" s="1488"/>
      <c r="AV5" s="1488"/>
      <c r="AW5" s="1234"/>
      <c r="AX5" s="1234"/>
      <c r="AY5" s="1488"/>
      <c r="AZ5" s="1488"/>
      <c r="BA5" s="1234"/>
      <c r="BB5" s="1234"/>
      <c r="BC5" s="1488"/>
      <c r="BD5" s="1489"/>
      <c r="BE5" s="129">
        <f>I5+M5+Q5+U5+Y5+AC5+AG5+AK5+AO5+AS5+AW5+BA5</f>
        <v>1</v>
      </c>
      <c r="BF5" s="162">
        <f>K5+O5+S5+W5+AA5+AE5+AI5+AM5+AQ5+AU5+AY5+BC5</f>
        <v>1</v>
      </c>
      <c r="BG5" s="131">
        <f>BE5/BF5</f>
        <v>1</v>
      </c>
      <c r="BH5" s="132">
        <f>G5*BG5</f>
        <v>0.01</v>
      </c>
      <c r="BI5" s="133">
        <f>G5</f>
        <v>0.01</v>
      </c>
      <c r="BJ5" s="257">
        <f>((K5+O5+S5)/BF5)*BI5</f>
        <v>0.01</v>
      </c>
    </row>
    <row r="6" spans="1:62" ht="50.25" customHeight="1" thickBot="1" x14ac:dyDescent="0.25">
      <c r="A6" s="1496"/>
      <c r="B6" s="1255"/>
      <c r="C6" s="1255"/>
      <c r="D6" s="46" t="s">
        <v>594</v>
      </c>
      <c r="E6" s="56" t="s">
        <v>595</v>
      </c>
      <c r="F6" s="56" t="s">
        <v>596</v>
      </c>
      <c r="G6" s="214">
        <v>0.03</v>
      </c>
      <c r="H6" s="216">
        <v>1.2</v>
      </c>
      <c r="I6" s="1473">
        <v>1</v>
      </c>
      <c r="J6" s="998"/>
      <c r="K6" s="992">
        <v>1</v>
      </c>
      <c r="L6" s="992"/>
      <c r="M6" s="1150"/>
      <c r="N6" s="1151"/>
      <c r="O6" s="1150"/>
      <c r="P6" s="1151"/>
      <c r="Q6" s="1153"/>
      <c r="R6" s="1154"/>
      <c r="S6" s="1150"/>
      <c r="T6" s="1151"/>
      <c r="U6" s="1153"/>
      <c r="V6" s="1154"/>
      <c r="W6" s="1010">
        <v>1</v>
      </c>
      <c r="X6" s="1487"/>
      <c r="Y6" s="1153"/>
      <c r="Z6" s="1154"/>
      <c r="AA6" s="1150"/>
      <c r="AB6" s="1151"/>
      <c r="AC6" s="1153"/>
      <c r="AD6" s="1154"/>
      <c r="AE6" s="1150"/>
      <c r="AF6" s="1151"/>
      <c r="AG6" s="1153"/>
      <c r="AH6" s="1154"/>
      <c r="AI6" s="1010">
        <v>1</v>
      </c>
      <c r="AJ6" s="1487"/>
      <c r="AK6" s="1153"/>
      <c r="AL6" s="1154"/>
      <c r="AM6" s="1226"/>
      <c r="AN6" s="1226"/>
      <c r="AO6" s="998"/>
      <c r="AP6" s="998"/>
      <c r="AQ6" s="1226"/>
      <c r="AR6" s="1226"/>
      <c r="AS6" s="998"/>
      <c r="AT6" s="998"/>
      <c r="AU6" s="992">
        <v>1</v>
      </c>
      <c r="AV6" s="992"/>
      <c r="AW6" s="998"/>
      <c r="AX6" s="998"/>
      <c r="AY6" s="1226"/>
      <c r="AZ6" s="1226"/>
      <c r="BA6" s="1234"/>
      <c r="BB6" s="1234"/>
      <c r="BC6" s="1226"/>
      <c r="BD6" s="1240"/>
      <c r="BE6" s="129">
        <f t="shared" ref="BE6:BE30" si="0">I6+M6+Q6+U6+Y6+AC6+AG6+AK6+AO6+AS6+AW6+BA6</f>
        <v>1</v>
      </c>
      <c r="BF6" s="162">
        <f t="shared" ref="BF6:BF30" si="1">K6+O6+S6+W6+AA6+AE6+AI6+AM6+AQ6+AU6+AY6+BC6</f>
        <v>4</v>
      </c>
      <c r="BG6" s="131">
        <f t="shared" ref="BG6:BG30" si="2">BE6/BF6</f>
        <v>0.25</v>
      </c>
      <c r="BH6" s="132">
        <f t="shared" ref="BH6:BH30" si="3">G6*BG6</f>
        <v>7.4999999999999997E-3</v>
      </c>
      <c r="BI6" s="133">
        <f t="shared" ref="BI6:BI30" si="4">G6</f>
        <v>0.03</v>
      </c>
      <c r="BJ6" s="257">
        <f t="shared" ref="BJ6:BJ30" si="5">((K6+O6+S6)/BF6)*BI6</f>
        <v>7.4999999999999997E-3</v>
      </c>
    </row>
    <row r="7" spans="1:62" ht="57.75" customHeight="1" thickBot="1" x14ac:dyDescent="0.25">
      <c r="A7" s="1496"/>
      <c r="B7" s="1255"/>
      <c r="C7" s="1255"/>
      <c r="D7" s="46" t="s">
        <v>597</v>
      </c>
      <c r="E7" s="56" t="s">
        <v>598</v>
      </c>
      <c r="F7" s="56" t="s">
        <v>599</v>
      </c>
      <c r="G7" s="214">
        <v>0.02</v>
      </c>
      <c r="H7" s="215">
        <v>1.3</v>
      </c>
      <c r="I7" s="1473">
        <v>0</v>
      </c>
      <c r="J7" s="998"/>
      <c r="K7" s="1226"/>
      <c r="L7" s="1226"/>
      <c r="M7" s="1226"/>
      <c r="N7" s="1226"/>
      <c r="O7" s="1226"/>
      <c r="P7" s="1226"/>
      <c r="Q7" s="998"/>
      <c r="R7" s="998"/>
      <c r="S7" s="1226"/>
      <c r="T7" s="1226"/>
      <c r="U7" s="998"/>
      <c r="V7" s="998"/>
      <c r="W7" s="1226"/>
      <c r="X7" s="1226"/>
      <c r="Y7" s="998"/>
      <c r="Z7" s="998"/>
      <c r="AA7" s="1226"/>
      <c r="AB7" s="1226"/>
      <c r="AC7" s="998"/>
      <c r="AD7" s="998"/>
      <c r="AE7" s="1226"/>
      <c r="AF7" s="1226"/>
      <c r="AG7" s="998"/>
      <c r="AH7" s="998"/>
      <c r="AI7" s="1226"/>
      <c r="AJ7" s="1226"/>
      <c r="AK7" s="998"/>
      <c r="AL7" s="998"/>
      <c r="AM7" s="992">
        <v>1</v>
      </c>
      <c r="AN7" s="992"/>
      <c r="AO7" s="998"/>
      <c r="AP7" s="998"/>
      <c r="AQ7" s="1226"/>
      <c r="AR7" s="1226"/>
      <c r="AS7" s="998"/>
      <c r="AT7" s="998"/>
      <c r="AU7" s="1226"/>
      <c r="AV7" s="1226"/>
      <c r="AW7" s="998"/>
      <c r="AX7" s="998"/>
      <c r="AY7" s="1226"/>
      <c r="AZ7" s="1226"/>
      <c r="BA7" s="1234"/>
      <c r="BB7" s="1234"/>
      <c r="BC7" s="1226"/>
      <c r="BD7" s="1240"/>
      <c r="BE7" s="129">
        <f t="shared" si="0"/>
        <v>0</v>
      </c>
      <c r="BF7" s="162">
        <f t="shared" si="1"/>
        <v>1</v>
      </c>
      <c r="BG7" s="131">
        <f t="shared" si="2"/>
        <v>0</v>
      </c>
      <c r="BH7" s="132">
        <f t="shared" si="3"/>
        <v>0</v>
      </c>
      <c r="BI7" s="133">
        <f t="shared" si="4"/>
        <v>0.02</v>
      </c>
      <c r="BJ7" s="257">
        <f t="shared" si="5"/>
        <v>0</v>
      </c>
    </row>
    <row r="8" spans="1:62" ht="65.25" customHeight="1" thickBot="1" x14ac:dyDescent="0.25">
      <c r="A8" s="1497"/>
      <c r="B8" s="1032"/>
      <c r="C8" s="1032"/>
      <c r="D8" s="56" t="s">
        <v>600</v>
      </c>
      <c r="E8" s="46" t="s">
        <v>601</v>
      </c>
      <c r="F8" s="46" t="s">
        <v>602</v>
      </c>
      <c r="G8" s="214">
        <v>0.04</v>
      </c>
      <c r="H8" s="216">
        <v>1.4</v>
      </c>
      <c r="I8" s="1473">
        <v>0</v>
      </c>
      <c r="J8" s="998"/>
      <c r="K8" s="1226"/>
      <c r="L8" s="1226"/>
      <c r="M8" s="1226"/>
      <c r="N8" s="1226"/>
      <c r="O8" s="1226"/>
      <c r="P8" s="1226"/>
      <c r="Q8" s="998">
        <v>1</v>
      </c>
      <c r="R8" s="998"/>
      <c r="S8" s="992">
        <v>1</v>
      </c>
      <c r="T8" s="992"/>
      <c r="U8" s="998"/>
      <c r="V8" s="998"/>
      <c r="W8" s="1226"/>
      <c r="X8" s="1226"/>
      <c r="Y8" s="998"/>
      <c r="Z8" s="998"/>
      <c r="AA8" s="1226"/>
      <c r="AB8" s="1226"/>
      <c r="AC8" s="998"/>
      <c r="AD8" s="998"/>
      <c r="AE8" s="1226"/>
      <c r="AF8" s="1226"/>
      <c r="AG8" s="998"/>
      <c r="AH8" s="998"/>
      <c r="AI8" s="1226"/>
      <c r="AJ8" s="1226"/>
      <c r="AK8" s="998"/>
      <c r="AL8" s="998"/>
      <c r="AM8" s="1226"/>
      <c r="AN8" s="1226"/>
      <c r="AO8" s="998"/>
      <c r="AP8" s="998"/>
      <c r="AQ8" s="1226"/>
      <c r="AR8" s="1226"/>
      <c r="AS8" s="998"/>
      <c r="AT8" s="998"/>
      <c r="AU8" s="1226"/>
      <c r="AV8" s="1226"/>
      <c r="AW8" s="998"/>
      <c r="AX8" s="998"/>
      <c r="AY8" s="1226"/>
      <c r="AZ8" s="1226"/>
      <c r="BA8" s="1234"/>
      <c r="BB8" s="1234"/>
      <c r="BC8" s="1226"/>
      <c r="BD8" s="1240"/>
      <c r="BE8" s="129">
        <f t="shared" si="0"/>
        <v>1</v>
      </c>
      <c r="BF8" s="162">
        <f t="shared" si="1"/>
        <v>1</v>
      </c>
      <c r="BG8" s="131">
        <f t="shared" si="2"/>
        <v>1</v>
      </c>
      <c r="BH8" s="132">
        <f t="shared" si="3"/>
        <v>0.04</v>
      </c>
      <c r="BI8" s="133">
        <f t="shared" si="4"/>
        <v>0.04</v>
      </c>
      <c r="BJ8" s="257">
        <f t="shared" si="5"/>
        <v>0.04</v>
      </c>
    </row>
    <row r="9" spans="1:62" ht="72.75" customHeight="1" thickBot="1" x14ac:dyDescent="0.25">
      <c r="A9" s="1055" t="s">
        <v>603</v>
      </c>
      <c r="B9" s="1358">
        <v>0.35</v>
      </c>
      <c r="C9" s="1358" t="s">
        <v>604</v>
      </c>
      <c r="D9" s="119" t="s">
        <v>605</v>
      </c>
      <c r="E9" s="119" t="s">
        <v>606</v>
      </c>
      <c r="F9" s="119" t="s">
        <v>607</v>
      </c>
      <c r="G9" s="214">
        <v>0.05</v>
      </c>
      <c r="H9" s="216">
        <v>2.1</v>
      </c>
      <c r="I9" s="1473">
        <v>0</v>
      </c>
      <c r="J9" s="998"/>
      <c r="K9" s="1226"/>
      <c r="L9" s="1226"/>
      <c r="M9" s="1226">
        <v>1</v>
      </c>
      <c r="N9" s="1226"/>
      <c r="O9" s="992">
        <v>1</v>
      </c>
      <c r="P9" s="992"/>
      <c r="Q9" s="998"/>
      <c r="R9" s="998"/>
      <c r="S9" s="1226"/>
      <c r="T9" s="1226"/>
      <c r="U9" s="998"/>
      <c r="V9" s="998"/>
      <c r="W9" s="992">
        <v>1</v>
      </c>
      <c r="X9" s="992"/>
      <c r="Y9" s="998"/>
      <c r="Z9" s="998"/>
      <c r="AA9" s="1226"/>
      <c r="AB9" s="1226"/>
      <c r="AC9" s="998"/>
      <c r="AD9" s="998"/>
      <c r="AE9" s="1226"/>
      <c r="AF9" s="1226"/>
      <c r="AG9" s="998"/>
      <c r="AH9" s="998"/>
      <c r="AI9" s="992">
        <v>1</v>
      </c>
      <c r="AJ9" s="992"/>
      <c r="AK9" s="998"/>
      <c r="AL9" s="998"/>
      <c r="AM9" s="1226"/>
      <c r="AN9" s="1226"/>
      <c r="AO9" s="998"/>
      <c r="AP9" s="998"/>
      <c r="AQ9" s="1226"/>
      <c r="AR9" s="1226"/>
      <c r="AS9" s="998"/>
      <c r="AT9" s="998"/>
      <c r="AU9" s="992">
        <v>1</v>
      </c>
      <c r="AV9" s="992"/>
      <c r="AW9" s="998"/>
      <c r="AX9" s="998"/>
      <c r="AY9" s="1226"/>
      <c r="AZ9" s="1226"/>
      <c r="BA9" s="1234"/>
      <c r="BB9" s="1234"/>
      <c r="BC9" s="1226"/>
      <c r="BD9" s="1240"/>
      <c r="BE9" s="129">
        <f t="shared" si="0"/>
        <v>1</v>
      </c>
      <c r="BF9" s="162">
        <f t="shared" si="1"/>
        <v>4</v>
      </c>
      <c r="BG9" s="131">
        <f t="shared" si="2"/>
        <v>0.25</v>
      </c>
      <c r="BH9" s="132">
        <f t="shared" si="3"/>
        <v>1.2500000000000001E-2</v>
      </c>
      <c r="BI9" s="133">
        <f t="shared" si="4"/>
        <v>0.05</v>
      </c>
      <c r="BJ9" s="257">
        <f t="shared" si="5"/>
        <v>1.2500000000000001E-2</v>
      </c>
    </row>
    <row r="10" spans="1:62" ht="76.5" customHeight="1" thickBot="1" x14ac:dyDescent="0.25">
      <c r="A10" s="1030"/>
      <c r="B10" s="1359"/>
      <c r="C10" s="1359"/>
      <c r="D10" s="119" t="s">
        <v>608</v>
      </c>
      <c r="E10" s="119" t="s">
        <v>609</v>
      </c>
      <c r="F10" s="119" t="s">
        <v>610</v>
      </c>
      <c r="G10" s="217">
        <v>0.05</v>
      </c>
      <c r="H10" s="216">
        <v>2.2000000000000002</v>
      </c>
      <c r="I10" s="1473">
        <v>1</v>
      </c>
      <c r="J10" s="998"/>
      <c r="K10" s="992">
        <v>1</v>
      </c>
      <c r="L10" s="992"/>
      <c r="M10" s="1226"/>
      <c r="N10" s="1226"/>
      <c r="O10" s="1226"/>
      <c r="P10" s="1226"/>
      <c r="Q10" s="998"/>
      <c r="R10" s="998"/>
      <c r="S10" s="1226"/>
      <c r="T10" s="1226"/>
      <c r="U10" s="998"/>
      <c r="V10" s="998"/>
      <c r="W10" s="992">
        <v>1</v>
      </c>
      <c r="X10" s="992"/>
      <c r="Y10" s="998"/>
      <c r="Z10" s="998"/>
      <c r="AA10" s="1226"/>
      <c r="AB10" s="1226"/>
      <c r="AC10" s="998"/>
      <c r="AD10" s="998"/>
      <c r="AE10" s="1226"/>
      <c r="AF10" s="1226"/>
      <c r="AG10" s="998"/>
      <c r="AH10" s="998"/>
      <c r="AI10" s="992">
        <v>1</v>
      </c>
      <c r="AJ10" s="992"/>
      <c r="AK10" s="998"/>
      <c r="AL10" s="998"/>
      <c r="AM10" s="1226"/>
      <c r="AN10" s="1226"/>
      <c r="AO10" s="998"/>
      <c r="AP10" s="998"/>
      <c r="AQ10" s="1226"/>
      <c r="AR10" s="1226"/>
      <c r="AS10" s="998"/>
      <c r="AT10" s="998"/>
      <c r="AU10" s="992">
        <v>1</v>
      </c>
      <c r="AV10" s="992"/>
      <c r="AW10" s="998"/>
      <c r="AX10" s="998"/>
      <c r="AY10" s="1226"/>
      <c r="AZ10" s="1226"/>
      <c r="BA10" s="1234"/>
      <c r="BB10" s="1234"/>
      <c r="BC10" s="1226"/>
      <c r="BD10" s="1240"/>
      <c r="BE10" s="129">
        <f t="shared" si="0"/>
        <v>1</v>
      </c>
      <c r="BF10" s="162">
        <f t="shared" si="1"/>
        <v>4</v>
      </c>
      <c r="BG10" s="131">
        <f t="shared" si="2"/>
        <v>0.25</v>
      </c>
      <c r="BH10" s="132">
        <f t="shared" si="3"/>
        <v>1.2500000000000001E-2</v>
      </c>
      <c r="BI10" s="133">
        <f t="shared" si="4"/>
        <v>0.05</v>
      </c>
      <c r="BJ10" s="257">
        <f t="shared" si="5"/>
        <v>1.2500000000000001E-2</v>
      </c>
    </row>
    <row r="11" spans="1:62" ht="66.75" customHeight="1" thickBot="1" x14ac:dyDescent="0.25">
      <c r="A11" s="1030"/>
      <c r="B11" s="1359"/>
      <c r="C11" s="1359"/>
      <c r="D11" s="93" t="s">
        <v>611</v>
      </c>
      <c r="E11" s="94" t="s">
        <v>612</v>
      </c>
      <c r="F11" s="94" t="s">
        <v>613</v>
      </c>
      <c r="G11" s="217">
        <v>0.06</v>
      </c>
      <c r="H11" s="216">
        <v>2.2999999999999998</v>
      </c>
      <c r="I11" s="1473">
        <v>12</v>
      </c>
      <c r="J11" s="998"/>
      <c r="K11" s="992">
        <v>12</v>
      </c>
      <c r="L11" s="992"/>
      <c r="M11" s="1226"/>
      <c r="N11" s="1226"/>
      <c r="O11" s="1226"/>
      <c r="P11" s="1226"/>
      <c r="Q11" s="998"/>
      <c r="R11" s="998"/>
      <c r="S11" s="1226"/>
      <c r="T11" s="1226"/>
      <c r="U11" s="998"/>
      <c r="V11" s="998"/>
      <c r="W11" s="1226"/>
      <c r="X11" s="1226"/>
      <c r="Y11" s="998"/>
      <c r="Z11" s="998"/>
      <c r="AA11" s="1226"/>
      <c r="AB11" s="1226"/>
      <c r="AC11" s="998"/>
      <c r="AD11" s="998"/>
      <c r="AE11" s="1226"/>
      <c r="AF11" s="1226"/>
      <c r="AG11" s="998"/>
      <c r="AH11" s="998"/>
      <c r="AI11" s="1226"/>
      <c r="AJ11" s="1226"/>
      <c r="AK11" s="998"/>
      <c r="AL11" s="998"/>
      <c r="AM11" s="1226"/>
      <c r="AN11" s="1226"/>
      <c r="AO11" s="998"/>
      <c r="AP11" s="998"/>
      <c r="AQ11" s="1226"/>
      <c r="AR11" s="1226"/>
      <c r="AS11" s="998"/>
      <c r="AT11" s="998"/>
      <c r="AU11" s="1226"/>
      <c r="AV11" s="1226"/>
      <c r="AW11" s="998"/>
      <c r="AX11" s="998"/>
      <c r="AY11" s="1226"/>
      <c r="AZ11" s="1226"/>
      <c r="BA11" s="1234"/>
      <c r="BB11" s="1234"/>
      <c r="BC11" s="1226"/>
      <c r="BD11" s="1240"/>
      <c r="BE11" s="129">
        <f t="shared" si="0"/>
        <v>12</v>
      </c>
      <c r="BF11" s="162">
        <f t="shared" si="1"/>
        <v>12</v>
      </c>
      <c r="BG11" s="131">
        <f t="shared" si="2"/>
        <v>1</v>
      </c>
      <c r="BH11" s="132">
        <f t="shared" si="3"/>
        <v>0.06</v>
      </c>
      <c r="BI11" s="133">
        <f t="shared" si="4"/>
        <v>0.06</v>
      </c>
      <c r="BJ11" s="257">
        <f t="shared" si="5"/>
        <v>0.06</v>
      </c>
    </row>
    <row r="12" spans="1:62" ht="60.75" customHeight="1" thickBot="1" x14ac:dyDescent="0.25">
      <c r="A12" s="1030"/>
      <c r="B12" s="1359"/>
      <c r="C12" s="1359"/>
      <c r="D12" s="96" t="s">
        <v>614</v>
      </c>
      <c r="E12" s="119" t="s">
        <v>615</v>
      </c>
      <c r="F12" s="119" t="s">
        <v>616</v>
      </c>
      <c r="G12" s="214">
        <v>0.04</v>
      </c>
      <c r="H12" s="216">
        <v>2.4</v>
      </c>
      <c r="I12" s="1473">
        <v>1</v>
      </c>
      <c r="J12" s="998"/>
      <c r="K12" s="992">
        <v>1</v>
      </c>
      <c r="L12" s="992"/>
      <c r="M12" s="1226">
        <v>1</v>
      </c>
      <c r="N12" s="1226"/>
      <c r="O12" s="992">
        <v>1</v>
      </c>
      <c r="P12" s="992"/>
      <c r="Q12" s="998">
        <v>1</v>
      </c>
      <c r="R12" s="998"/>
      <c r="S12" s="992">
        <v>1</v>
      </c>
      <c r="T12" s="992"/>
      <c r="U12" s="998"/>
      <c r="V12" s="998"/>
      <c r="W12" s="992">
        <v>1</v>
      </c>
      <c r="X12" s="992"/>
      <c r="Y12" s="998"/>
      <c r="Z12" s="998"/>
      <c r="AA12" s="992">
        <v>1</v>
      </c>
      <c r="AB12" s="992"/>
      <c r="AC12" s="998"/>
      <c r="AD12" s="998"/>
      <c r="AE12" s="992">
        <v>1</v>
      </c>
      <c r="AF12" s="992"/>
      <c r="AG12" s="998"/>
      <c r="AH12" s="998"/>
      <c r="AI12" s="992">
        <v>1</v>
      </c>
      <c r="AJ12" s="992"/>
      <c r="AK12" s="998"/>
      <c r="AL12" s="998"/>
      <c r="AM12" s="992">
        <v>1</v>
      </c>
      <c r="AN12" s="992"/>
      <c r="AO12" s="998"/>
      <c r="AP12" s="998"/>
      <c r="AQ12" s="992">
        <v>1</v>
      </c>
      <c r="AR12" s="992"/>
      <c r="AS12" s="998"/>
      <c r="AT12" s="998"/>
      <c r="AU12" s="992">
        <v>1</v>
      </c>
      <c r="AV12" s="992"/>
      <c r="AW12" s="998"/>
      <c r="AX12" s="998"/>
      <c r="AY12" s="992">
        <v>1</v>
      </c>
      <c r="AZ12" s="992"/>
      <c r="BA12" s="1234"/>
      <c r="BB12" s="1234"/>
      <c r="BC12" s="992">
        <v>1</v>
      </c>
      <c r="BD12" s="1239"/>
      <c r="BE12" s="129">
        <f t="shared" si="0"/>
        <v>3</v>
      </c>
      <c r="BF12" s="162">
        <f t="shared" si="1"/>
        <v>12</v>
      </c>
      <c r="BG12" s="131">
        <f t="shared" si="2"/>
        <v>0.25</v>
      </c>
      <c r="BH12" s="132">
        <f t="shared" si="3"/>
        <v>0.01</v>
      </c>
      <c r="BI12" s="133">
        <f t="shared" si="4"/>
        <v>0.04</v>
      </c>
      <c r="BJ12" s="257">
        <f t="shared" si="5"/>
        <v>0.01</v>
      </c>
    </row>
    <row r="13" spans="1:62" ht="42.75" customHeight="1" thickBot="1" x14ac:dyDescent="0.25">
      <c r="A13" s="1030"/>
      <c r="B13" s="1359"/>
      <c r="C13" s="1359"/>
      <c r="D13" s="119" t="s">
        <v>617</v>
      </c>
      <c r="E13" s="119" t="s">
        <v>618</v>
      </c>
      <c r="F13" s="119" t="s">
        <v>619</v>
      </c>
      <c r="G13" s="214">
        <v>0.04</v>
      </c>
      <c r="H13" s="216">
        <v>2.5</v>
      </c>
      <c r="I13" s="1473">
        <v>0</v>
      </c>
      <c r="J13" s="998"/>
      <c r="K13" s="1226"/>
      <c r="L13" s="1226"/>
      <c r="M13" s="1226"/>
      <c r="N13" s="1226"/>
      <c r="O13" s="1226"/>
      <c r="P13" s="1226"/>
      <c r="Q13" s="998"/>
      <c r="R13" s="998"/>
      <c r="S13" s="1226"/>
      <c r="T13" s="1226"/>
      <c r="U13" s="998"/>
      <c r="V13" s="998"/>
      <c r="W13" s="1226"/>
      <c r="X13" s="1226"/>
      <c r="Y13" s="998"/>
      <c r="Z13" s="998"/>
      <c r="AA13" s="1226"/>
      <c r="AB13" s="1226"/>
      <c r="AC13" s="998"/>
      <c r="AD13" s="998"/>
      <c r="AE13" s="1226"/>
      <c r="AF13" s="1226"/>
      <c r="AG13" s="998"/>
      <c r="AH13" s="998"/>
      <c r="AI13" s="1226"/>
      <c r="AJ13" s="1226"/>
      <c r="AK13" s="998"/>
      <c r="AL13" s="998"/>
      <c r="AM13" s="1226"/>
      <c r="AN13" s="1226"/>
      <c r="AO13" s="998"/>
      <c r="AP13" s="998"/>
      <c r="AQ13" s="1226"/>
      <c r="AR13" s="1226"/>
      <c r="AS13" s="998"/>
      <c r="AT13" s="998"/>
      <c r="AU13" s="1226"/>
      <c r="AV13" s="1226"/>
      <c r="AW13" s="998"/>
      <c r="AX13" s="998"/>
      <c r="AY13" s="992">
        <v>1</v>
      </c>
      <c r="AZ13" s="992"/>
      <c r="BA13" s="1234"/>
      <c r="BB13" s="1234"/>
      <c r="BC13" s="1226"/>
      <c r="BD13" s="1240"/>
      <c r="BE13" s="129">
        <f t="shared" si="0"/>
        <v>0</v>
      </c>
      <c r="BF13" s="162">
        <f t="shared" si="1"/>
        <v>1</v>
      </c>
      <c r="BG13" s="131">
        <f t="shared" si="2"/>
        <v>0</v>
      </c>
      <c r="BH13" s="132">
        <f t="shared" si="3"/>
        <v>0</v>
      </c>
      <c r="BI13" s="133">
        <f t="shared" si="4"/>
        <v>0.04</v>
      </c>
      <c r="BJ13" s="257">
        <f t="shared" si="5"/>
        <v>0</v>
      </c>
    </row>
    <row r="14" spans="1:62" ht="69" customHeight="1" thickBot="1" x14ac:dyDescent="0.25">
      <c r="A14" s="1030"/>
      <c r="B14" s="1359"/>
      <c r="C14" s="1359"/>
      <c r="D14" s="119" t="s">
        <v>620</v>
      </c>
      <c r="E14" s="119" t="s">
        <v>621</v>
      </c>
      <c r="F14" s="119" t="s">
        <v>622</v>
      </c>
      <c r="G14" s="214">
        <v>0.05</v>
      </c>
      <c r="H14" s="216">
        <v>2.6</v>
      </c>
      <c r="I14" s="1473">
        <v>1</v>
      </c>
      <c r="J14" s="998"/>
      <c r="K14" s="992">
        <v>1</v>
      </c>
      <c r="L14" s="992"/>
      <c r="M14" s="1226"/>
      <c r="N14" s="1226"/>
      <c r="O14" s="1226"/>
      <c r="P14" s="1226"/>
      <c r="Q14" s="998"/>
      <c r="R14" s="998"/>
      <c r="S14" s="1226"/>
      <c r="T14" s="1226"/>
      <c r="U14" s="998"/>
      <c r="V14" s="998"/>
      <c r="W14" s="992">
        <v>1</v>
      </c>
      <c r="X14" s="992"/>
      <c r="Y14" s="998"/>
      <c r="Z14" s="998"/>
      <c r="AA14" s="1226"/>
      <c r="AB14" s="1226"/>
      <c r="AC14" s="998"/>
      <c r="AD14" s="998"/>
      <c r="AE14" s="1226"/>
      <c r="AF14" s="1226"/>
      <c r="AG14" s="998"/>
      <c r="AH14" s="998"/>
      <c r="AI14" s="992">
        <v>1</v>
      </c>
      <c r="AJ14" s="992"/>
      <c r="AK14" s="998"/>
      <c r="AL14" s="998"/>
      <c r="AM14" s="1226"/>
      <c r="AN14" s="1226"/>
      <c r="AO14" s="998"/>
      <c r="AP14" s="998"/>
      <c r="AQ14" s="1226"/>
      <c r="AR14" s="1226"/>
      <c r="AS14" s="998"/>
      <c r="AT14" s="998"/>
      <c r="AU14" s="992">
        <v>1</v>
      </c>
      <c r="AV14" s="992"/>
      <c r="AW14" s="998"/>
      <c r="AX14" s="998"/>
      <c r="AY14" s="1226"/>
      <c r="AZ14" s="1226"/>
      <c r="BA14" s="1234"/>
      <c r="BB14" s="1234"/>
      <c r="BC14" s="1226"/>
      <c r="BD14" s="1240"/>
      <c r="BE14" s="129">
        <f t="shared" si="0"/>
        <v>1</v>
      </c>
      <c r="BF14" s="162">
        <f t="shared" si="1"/>
        <v>4</v>
      </c>
      <c r="BG14" s="131">
        <f t="shared" si="2"/>
        <v>0.25</v>
      </c>
      <c r="BH14" s="132">
        <f t="shared" si="3"/>
        <v>1.2500000000000001E-2</v>
      </c>
      <c r="BI14" s="133">
        <f t="shared" si="4"/>
        <v>0.05</v>
      </c>
      <c r="BJ14" s="257">
        <f t="shared" si="5"/>
        <v>1.2500000000000001E-2</v>
      </c>
    </row>
    <row r="15" spans="1:62" ht="43.5" customHeight="1" thickBot="1" x14ac:dyDescent="0.25">
      <c r="A15" s="1030"/>
      <c r="B15" s="1359"/>
      <c r="C15" s="1359"/>
      <c r="D15" s="145" t="s">
        <v>623</v>
      </c>
      <c r="E15" s="145" t="s">
        <v>624</v>
      </c>
      <c r="F15" s="119" t="s">
        <v>625</v>
      </c>
      <c r="G15" s="214">
        <v>0.03</v>
      </c>
      <c r="H15" s="216">
        <v>2.7</v>
      </c>
      <c r="I15" s="1473">
        <v>0</v>
      </c>
      <c r="J15" s="998"/>
      <c r="K15" s="1226"/>
      <c r="L15" s="1226"/>
      <c r="M15" s="1226"/>
      <c r="N15" s="1226"/>
      <c r="O15" s="1226"/>
      <c r="P15" s="1226"/>
      <c r="Q15" s="998">
        <v>2</v>
      </c>
      <c r="R15" s="998"/>
      <c r="S15" s="992">
        <v>2</v>
      </c>
      <c r="T15" s="992"/>
      <c r="U15" s="998"/>
      <c r="V15" s="998"/>
      <c r="W15" s="1226"/>
      <c r="X15" s="1226"/>
      <c r="Y15" s="998"/>
      <c r="Z15" s="998"/>
      <c r="AA15" s="1226"/>
      <c r="AB15" s="1226"/>
      <c r="AC15" s="998"/>
      <c r="AD15" s="998"/>
      <c r="AE15" s="1226"/>
      <c r="AF15" s="1226"/>
      <c r="AG15" s="998"/>
      <c r="AH15" s="998"/>
      <c r="AI15" s="1226"/>
      <c r="AJ15" s="1226"/>
      <c r="AK15" s="998"/>
      <c r="AL15" s="998"/>
      <c r="AM15" s="1226"/>
      <c r="AN15" s="1226"/>
      <c r="AO15" s="998"/>
      <c r="AP15" s="998"/>
      <c r="AQ15" s="1226"/>
      <c r="AR15" s="1226"/>
      <c r="AS15" s="998"/>
      <c r="AT15" s="998"/>
      <c r="AU15" s="1226"/>
      <c r="AV15" s="1226"/>
      <c r="AW15" s="998"/>
      <c r="AX15" s="998"/>
      <c r="AY15" s="1226"/>
      <c r="AZ15" s="1226"/>
      <c r="BA15" s="1234"/>
      <c r="BB15" s="1234"/>
      <c r="BC15" s="1226"/>
      <c r="BD15" s="1240"/>
      <c r="BE15" s="129">
        <f t="shared" si="0"/>
        <v>2</v>
      </c>
      <c r="BF15" s="162">
        <f t="shared" si="1"/>
        <v>2</v>
      </c>
      <c r="BG15" s="131">
        <f t="shared" si="2"/>
        <v>1</v>
      </c>
      <c r="BH15" s="132">
        <f t="shared" si="3"/>
        <v>0.03</v>
      </c>
      <c r="BI15" s="133">
        <f t="shared" si="4"/>
        <v>0.03</v>
      </c>
      <c r="BJ15" s="257">
        <f t="shared" si="5"/>
        <v>0.03</v>
      </c>
    </row>
    <row r="16" spans="1:62" ht="60.75" customHeight="1" thickBot="1" x14ac:dyDescent="0.25">
      <c r="A16" s="1031"/>
      <c r="B16" s="1360"/>
      <c r="C16" s="1360"/>
      <c r="D16" s="145" t="s">
        <v>626</v>
      </c>
      <c r="E16" s="145" t="s">
        <v>627</v>
      </c>
      <c r="F16" s="119" t="s">
        <v>628</v>
      </c>
      <c r="G16" s="214">
        <v>0.03</v>
      </c>
      <c r="H16" s="216">
        <v>2.8</v>
      </c>
      <c r="I16" s="1473">
        <v>0</v>
      </c>
      <c r="J16" s="998"/>
      <c r="K16" s="1226"/>
      <c r="L16" s="1226"/>
      <c r="M16" s="1226"/>
      <c r="N16" s="1226"/>
      <c r="O16" s="1226"/>
      <c r="P16" s="1226"/>
      <c r="Q16" s="998"/>
      <c r="R16" s="998"/>
      <c r="S16" s="1226"/>
      <c r="T16" s="1226"/>
      <c r="U16" s="998"/>
      <c r="V16" s="998"/>
      <c r="W16" s="992">
        <v>1</v>
      </c>
      <c r="X16" s="992"/>
      <c r="Y16" s="998"/>
      <c r="Z16" s="998"/>
      <c r="AA16" s="1226"/>
      <c r="AB16" s="1226"/>
      <c r="AC16" s="998"/>
      <c r="AD16" s="998"/>
      <c r="AE16" s="992">
        <v>1</v>
      </c>
      <c r="AF16" s="992"/>
      <c r="AG16" s="998"/>
      <c r="AH16" s="998"/>
      <c r="AI16" s="1226"/>
      <c r="AJ16" s="1226"/>
      <c r="AK16" s="998"/>
      <c r="AL16" s="998"/>
      <c r="AM16" s="992">
        <v>1</v>
      </c>
      <c r="AN16" s="992"/>
      <c r="AO16" s="998"/>
      <c r="AP16" s="998"/>
      <c r="AQ16" s="1226"/>
      <c r="AR16" s="1226"/>
      <c r="AS16" s="998"/>
      <c r="AT16" s="998"/>
      <c r="AU16" s="1226"/>
      <c r="AV16" s="1226"/>
      <c r="AW16" s="998"/>
      <c r="AX16" s="998"/>
      <c r="AY16" s="1226"/>
      <c r="AZ16" s="1226"/>
      <c r="BA16" s="1234"/>
      <c r="BB16" s="1234"/>
      <c r="BC16" s="992">
        <v>2</v>
      </c>
      <c r="BD16" s="1239"/>
      <c r="BE16" s="129">
        <f t="shared" si="0"/>
        <v>0</v>
      </c>
      <c r="BF16" s="162">
        <f t="shared" si="1"/>
        <v>5</v>
      </c>
      <c r="BG16" s="131">
        <f t="shared" si="2"/>
        <v>0</v>
      </c>
      <c r="BH16" s="132">
        <f t="shared" si="3"/>
        <v>0</v>
      </c>
      <c r="BI16" s="133">
        <f t="shared" si="4"/>
        <v>0.03</v>
      </c>
      <c r="BJ16" s="257">
        <f t="shared" si="5"/>
        <v>0</v>
      </c>
    </row>
    <row r="17" spans="1:62" ht="66.75" customHeight="1" thickBot="1" x14ac:dyDescent="0.25">
      <c r="A17" s="1055" t="s">
        <v>629</v>
      </c>
      <c r="B17" s="1358">
        <v>0.12</v>
      </c>
      <c r="C17" s="1484" t="s">
        <v>245</v>
      </c>
      <c r="D17" s="218" t="s">
        <v>630</v>
      </c>
      <c r="E17" s="218" t="s">
        <v>631</v>
      </c>
      <c r="F17" s="218" t="s">
        <v>632</v>
      </c>
      <c r="G17" s="219">
        <v>0.1</v>
      </c>
      <c r="H17" s="216">
        <v>3.1</v>
      </c>
      <c r="I17" s="1474">
        <v>8.3299999999999999E-2</v>
      </c>
      <c r="J17" s="1282"/>
      <c r="K17" s="1222">
        <v>8.3299999999999999E-2</v>
      </c>
      <c r="L17" s="992"/>
      <c r="M17" s="1296">
        <v>8.3299999999999999E-2</v>
      </c>
      <c r="N17" s="1296"/>
      <c r="O17" s="1222">
        <v>8.3299999999999999E-2</v>
      </c>
      <c r="P17" s="992"/>
      <c r="Q17" s="998">
        <v>8.3299999999999999E-2</v>
      </c>
      <c r="R17" s="998"/>
      <c r="S17" s="1222">
        <v>8.3299999999999999E-2</v>
      </c>
      <c r="T17" s="992"/>
      <c r="U17" s="998"/>
      <c r="V17" s="998"/>
      <c r="W17" s="1222">
        <v>8.3299999999999999E-2</v>
      </c>
      <c r="X17" s="992"/>
      <c r="Y17" s="998"/>
      <c r="Z17" s="998"/>
      <c r="AA17" s="1222">
        <v>8.3299999999999999E-2</v>
      </c>
      <c r="AB17" s="992"/>
      <c r="AC17" s="998"/>
      <c r="AD17" s="998"/>
      <c r="AE17" s="1222">
        <v>8.3299999999999999E-2</v>
      </c>
      <c r="AF17" s="992"/>
      <c r="AG17" s="998"/>
      <c r="AH17" s="998"/>
      <c r="AI17" s="1222">
        <v>8.3299999999999999E-2</v>
      </c>
      <c r="AJ17" s="992"/>
      <c r="AK17" s="998"/>
      <c r="AL17" s="998"/>
      <c r="AM17" s="1222">
        <v>8.3299999999999999E-2</v>
      </c>
      <c r="AN17" s="992"/>
      <c r="AO17" s="998"/>
      <c r="AP17" s="998"/>
      <c r="AQ17" s="1222">
        <v>8.3299999999999999E-2</v>
      </c>
      <c r="AR17" s="992"/>
      <c r="AS17" s="998"/>
      <c r="AT17" s="998"/>
      <c r="AU17" s="1222">
        <v>8.3299999999999999E-2</v>
      </c>
      <c r="AV17" s="992"/>
      <c r="AW17" s="998"/>
      <c r="AX17" s="998"/>
      <c r="AY17" s="1222">
        <v>8.3299999999999999E-2</v>
      </c>
      <c r="AZ17" s="992"/>
      <c r="BA17" s="1234"/>
      <c r="BB17" s="1234"/>
      <c r="BC17" s="1222">
        <v>8.3699999999999997E-2</v>
      </c>
      <c r="BD17" s="1239"/>
      <c r="BE17" s="129">
        <f t="shared" si="0"/>
        <v>0.24990000000000001</v>
      </c>
      <c r="BF17" s="149">
        <f t="shared" si="1"/>
        <v>1</v>
      </c>
      <c r="BG17" s="131">
        <f t="shared" si="2"/>
        <v>0.24990000000000001</v>
      </c>
      <c r="BH17" s="132">
        <f t="shared" si="3"/>
        <v>2.4990000000000002E-2</v>
      </c>
      <c r="BI17" s="133">
        <f t="shared" si="4"/>
        <v>0.1</v>
      </c>
      <c r="BJ17" s="257">
        <f t="shared" si="5"/>
        <v>2.4990000000000002E-2</v>
      </c>
    </row>
    <row r="18" spans="1:62" ht="74.25" customHeight="1" thickBot="1" x14ac:dyDescent="0.25">
      <c r="A18" s="1030"/>
      <c r="B18" s="1359"/>
      <c r="C18" s="1485"/>
      <c r="D18" s="220" t="s">
        <v>633</v>
      </c>
      <c r="E18" s="103" t="s">
        <v>634</v>
      </c>
      <c r="F18" s="221" t="s">
        <v>635</v>
      </c>
      <c r="G18" s="222">
        <v>0.02</v>
      </c>
      <c r="H18" s="216">
        <v>3.2</v>
      </c>
      <c r="I18" s="1473">
        <v>0</v>
      </c>
      <c r="J18" s="998"/>
      <c r="K18" s="1226"/>
      <c r="L18" s="1226"/>
      <c r="M18" s="1226">
        <v>9.0999999999999998E-2</v>
      </c>
      <c r="N18" s="1226"/>
      <c r="O18" s="1482">
        <v>9.0999999999999998E-2</v>
      </c>
      <c r="P18" s="1483"/>
      <c r="Q18" s="998">
        <v>9.0999999999999998E-2</v>
      </c>
      <c r="R18" s="998"/>
      <c r="S18" s="1222">
        <v>9.0999999999999998E-2</v>
      </c>
      <c r="T18" s="992"/>
      <c r="U18" s="998"/>
      <c r="V18" s="998"/>
      <c r="W18" s="1482">
        <v>9.0999999999999998E-2</v>
      </c>
      <c r="X18" s="1483"/>
      <c r="Y18" s="998"/>
      <c r="Z18" s="998"/>
      <c r="AA18" s="1222">
        <v>9.0999999999999998E-2</v>
      </c>
      <c r="AB18" s="992"/>
      <c r="AC18" s="998"/>
      <c r="AD18" s="998"/>
      <c r="AE18" s="1482">
        <v>9.0999999999999998E-2</v>
      </c>
      <c r="AF18" s="1483"/>
      <c r="AG18" s="998"/>
      <c r="AH18" s="998"/>
      <c r="AI18" s="1222">
        <v>9.0999999999999998E-2</v>
      </c>
      <c r="AJ18" s="992"/>
      <c r="AK18" s="998"/>
      <c r="AL18" s="998"/>
      <c r="AM18" s="1482">
        <v>9.0999999999999998E-2</v>
      </c>
      <c r="AN18" s="1483"/>
      <c r="AO18" s="998"/>
      <c r="AP18" s="998"/>
      <c r="AQ18" s="1222">
        <v>9.0999999999999998E-2</v>
      </c>
      <c r="AR18" s="992"/>
      <c r="AS18" s="998"/>
      <c r="AT18" s="998"/>
      <c r="AU18" s="1482">
        <v>9.0999999999999998E-2</v>
      </c>
      <c r="AV18" s="1483"/>
      <c r="AW18" s="998"/>
      <c r="AX18" s="998"/>
      <c r="AY18" s="1222">
        <v>9.0999999999999998E-2</v>
      </c>
      <c r="AZ18" s="992"/>
      <c r="BA18" s="1234"/>
      <c r="BB18" s="1234"/>
      <c r="BC18" s="1482">
        <v>0.09</v>
      </c>
      <c r="BD18" s="1486"/>
      <c r="BE18" s="129">
        <f t="shared" si="0"/>
        <v>0.182</v>
      </c>
      <c r="BF18" s="149">
        <f t="shared" si="1"/>
        <v>0.99999999999999978</v>
      </c>
      <c r="BG18" s="131">
        <f t="shared" si="2"/>
        <v>0.18200000000000002</v>
      </c>
      <c r="BH18" s="132">
        <f t="shared" si="3"/>
        <v>3.6400000000000004E-3</v>
      </c>
      <c r="BI18" s="133">
        <f t="shared" si="4"/>
        <v>0.02</v>
      </c>
      <c r="BJ18" s="257">
        <f t="shared" si="5"/>
        <v>3.6400000000000004E-3</v>
      </c>
    </row>
    <row r="19" spans="1:62" ht="49.5" customHeight="1" thickBot="1" x14ac:dyDescent="0.25">
      <c r="A19" s="1480" t="s">
        <v>636</v>
      </c>
      <c r="B19" s="1325">
        <v>0.2</v>
      </c>
      <c r="C19" s="1325" t="s">
        <v>245</v>
      </c>
      <c r="D19" s="223" t="s">
        <v>637</v>
      </c>
      <c r="E19" s="119" t="s">
        <v>638</v>
      </c>
      <c r="F19" s="119" t="s">
        <v>639</v>
      </c>
      <c r="G19" s="101">
        <v>0.04</v>
      </c>
      <c r="H19" s="216">
        <v>4.0999999999999996</v>
      </c>
      <c r="I19" s="1473">
        <v>0</v>
      </c>
      <c r="J19" s="998"/>
      <c r="K19" s="1226"/>
      <c r="L19" s="1226"/>
      <c r="M19" s="1226">
        <v>1</v>
      </c>
      <c r="N19" s="1226"/>
      <c r="O19" s="1226"/>
      <c r="P19" s="1226"/>
      <c r="Q19" s="998"/>
      <c r="R19" s="998"/>
      <c r="S19" s="1226"/>
      <c r="T19" s="1226"/>
      <c r="U19" s="998"/>
      <c r="V19" s="998"/>
      <c r="W19" s="1226"/>
      <c r="X19" s="1226"/>
      <c r="Y19" s="998"/>
      <c r="Z19" s="998"/>
      <c r="AA19" s="1226"/>
      <c r="AB19" s="1226"/>
      <c r="AC19" s="998"/>
      <c r="AD19" s="998"/>
      <c r="AE19" s="992">
        <v>1</v>
      </c>
      <c r="AF19" s="992"/>
      <c r="AG19" s="998"/>
      <c r="AH19" s="998"/>
      <c r="AI19" s="1226"/>
      <c r="AJ19" s="1226"/>
      <c r="AK19" s="998"/>
      <c r="AL19" s="998"/>
      <c r="AM19" s="1226"/>
      <c r="AN19" s="1226"/>
      <c r="AO19" s="998"/>
      <c r="AP19" s="998"/>
      <c r="AQ19" s="1226"/>
      <c r="AR19" s="1226"/>
      <c r="AS19" s="998"/>
      <c r="AT19" s="998"/>
      <c r="AU19" s="1226"/>
      <c r="AV19" s="1226"/>
      <c r="AW19" s="998"/>
      <c r="AX19" s="998"/>
      <c r="AY19" s="1226"/>
      <c r="AZ19" s="1226"/>
      <c r="BA19" s="1234"/>
      <c r="BB19" s="1234"/>
      <c r="BC19" s="992">
        <v>1</v>
      </c>
      <c r="BD19" s="1239"/>
      <c r="BE19" s="129">
        <f t="shared" si="0"/>
        <v>1</v>
      </c>
      <c r="BF19" s="162">
        <f t="shared" si="1"/>
        <v>2</v>
      </c>
      <c r="BG19" s="131">
        <f t="shared" si="2"/>
        <v>0.5</v>
      </c>
      <c r="BH19" s="132">
        <f t="shared" si="3"/>
        <v>0.02</v>
      </c>
      <c r="BI19" s="133">
        <f t="shared" si="4"/>
        <v>0.04</v>
      </c>
      <c r="BJ19" s="257">
        <f t="shared" si="5"/>
        <v>0</v>
      </c>
    </row>
    <row r="20" spans="1:62" ht="46.5" customHeight="1" thickBot="1" x14ac:dyDescent="0.25">
      <c r="A20" s="1480"/>
      <c r="B20" s="1325"/>
      <c r="C20" s="1325"/>
      <c r="D20" s="1479" t="s">
        <v>640</v>
      </c>
      <c r="E20" s="94" t="s">
        <v>641</v>
      </c>
      <c r="F20" s="94" t="s">
        <v>642</v>
      </c>
      <c r="G20" s="101">
        <v>0.03</v>
      </c>
      <c r="H20" s="1477">
        <v>4.2</v>
      </c>
      <c r="I20" s="1473">
        <v>1</v>
      </c>
      <c r="J20" s="998"/>
      <c r="K20" s="992">
        <v>1</v>
      </c>
      <c r="L20" s="992"/>
      <c r="M20" s="1226">
        <v>1</v>
      </c>
      <c r="N20" s="1226"/>
      <c r="O20" s="992">
        <v>1</v>
      </c>
      <c r="P20" s="992"/>
      <c r="Q20" s="998">
        <v>1</v>
      </c>
      <c r="R20" s="998"/>
      <c r="S20" s="992">
        <v>1</v>
      </c>
      <c r="T20" s="992"/>
      <c r="U20" s="998"/>
      <c r="V20" s="998"/>
      <c r="W20" s="992">
        <v>1</v>
      </c>
      <c r="X20" s="992"/>
      <c r="Y20" s="998"/>
      <c r="Z20" s="998"/>
      <c r="AA20" s="992">
        <v>1</v>
      </c>
      <c r="AB20" s="992"/>
      <c r="AC20" s="998"/>
      <c r="AD20" s="998"/>
      <c r="AE20" s="992">
        <v>1</v>
      </c>
      <c r="AF20" s="992"/>
      <c r="AG20" s="998"/>
      <c r="AH20" s="998"/>
      <c r="AI20" s="992">
        <v>1</v>
      </c>
      <c r="AJ20" s="992"/>
      <c r="AK20" s="998"/>
      <c r="AL20" s="998"/>
      <c r="AM20" s="992">
        <v>1</v>
      </c>
      <c r="AN20" s="992"/>
      <c r="AO20" s="998"/>
      <c r="AP20" s="998"/>
      <c r="AQ20" s="992">
        <v>1</v>
      </c>
      <c r="AR20" s="992"/>
      <c r="AS20" s="998"/>
      <c r="AT20" s="998"/>
      <c r="AU20" s="992">
        <v>1</v>
      </c>
      <c r="AV20" s="992"/>
      <c r="AW20" s="998"/>
      <c r="AX20" s="998"/>
      <c r="AY20" s="992">
        <v>1</v>
      </c>
      <c r="AZ20" s="992"/>
      <c r="BA20" s="1234"/>
      <c r="BB20" s="1234"/>
      <c r="BC20" s="992">
        <v>1</v>
      </c>
      <c r="BD20" s="1239"/>
      <c r="BE20" s="129">
        <f t="shared" si="0"/>
        <v>3</v>
      </c>
      <c r="BF20" s="162">
        <f t="shared" si="1"/>
        <v>12</v>
      </c>
      <c r="BG20" s="131">
        <f t="shared" si="2"/>
        <v>0.25</v>
      </c>
      <c r="BH20" s="132">
        <f t="shared" si="3"/>
        <v>7.4999999999999997E-3</v>
      </c>
      <c r="BI20" s="133">
        <f t="shared" si="4"/>
        <v>0.03</v>
      </c>
      <c r="BJ20" s="257">
        <f t="shared" si="5"/>
        <v>7.4999999999999997E-3</v>
      </c>
    </row>
    <row r="21" spans="1:62" ht="46.5" customHeight="1" thickBot="1" x14ac:dyDescent="0.25">
      <c r="A21" s="1480"/>
      <c r="B21" s="1325"/>
      <c r="C21" s="1325"/>
      <c r="D21" s="1479"/>
      <c r="E21" s="94" t="s">
        <v>643</v>
      </c>
      <c r="F21" s="94" t="s">
        <v>642</v>
      </c>
      <c r="G21" s="101">
        <v>0.03</v>
      </c>
      <c r="H21" s="1478"/>
      <c r="I21" s="1473">
        <v>1</v>
      </c>
      <c r="J21" s="998"/>
      <c r="K21" s="992">
        <v>1</v>
      </c>
      <c r="L21" s="992"/>
      <c r="M21" s="1226">
        <v>2</v>
      </c>
      <c r="N21" s="1226"/>
      <c r="O21" s="992">
        <v>1</v>
      </c>
      <c r="P21" s="992"/>
      <c r="Q21" s="998">
        <v>0</v>
      </c>
      <c r="R21" s="998"/>
      <c r="S21" s="992">
        <v>1</v>
      </c>
      <c r="T21" s="992"/>
      <c r="U21" s="998"/>
      <c r="V21" s="998"/>
      <c r="W21" s="992">
        <v>1</v>
      </c>
      <c r="X21" s="992"/>
      <c r="Y21" s="998"/>
      <c r="Z21" s="998"/>
      <c r="AA21" s="992">
        <v>1</v>
      </c>
      <c r="AB21" s="992"/>
      <c r="AC21" s="998"/>
      <c r="AD21" s="998"/>
      <c r="AE21" s="992">
        <v>1</v>
      </c>
      <c r="AF21" s="992"/>
      <c r="AG21" s="998"/>
      <c r="AH21" s="998"/>
      <c r="AI21" s="992">
        <v>1</v>
      </c>
      <c r="AJ21" s="992"/>
      <c r="AK21" s="998"/>
      <c r="AL21" s="998"/>
      <c r="AM21" s="992">
        <v>1</v>
      </c>
      <c r="AN21" s="992"/>
      <c r="AO21" s="998"/>
      <c r="AP21" s="998"/>
      <c r="AQ21" s="992">
        <v>1</v>
      </c>
      <c r="AR21" s="992"/>
      <c r="AS21" s="998"/>
      <c r="AT21" s="998"/>
      <c r="AU21" s="992">
        <v>1</v>
      </c>
      <c r="AV21" s="992"/>
      <c r="AW21" s="998"/>
      <c r="AX21" s="998"/>
      <c r="AY21" s="992">
        <v>1</v>
      </c>
      <c r="AZ21" s="992"/>
      <c r="BA21" s="1234"/>
      <c r="BB21" s="1234"/>
      <c r="BC21" s="992">
        <v>1</v>
      </c>
      <c r="BD21" s="1239"/>
      <c r="BE21" s="129">
        <f t="shared" si="0"/>
        <v>3</v>
      </c>
      <c r="BF21" s="162">
        <f t="shared" si="1"/>
        <v>12</v>
      </c>
      <c r="BG21" s="131">
        <f t="shared" si="2"/>
        <v>0.25</v>
      </c>
      <c r="BH21" s="132">
        <f t="shared" si="3"/>
        <v>7.4999999999999997E-3</v>
      </c>
      <c r="BI21" s="133">
        <f t="shared" si="4"/>
        <v>0.03</v>
      </c>
      <c r="BJ21" s="257">
        <f t="shared" si="5"/>
        <v>7.4999999999999997E-3</v>
      </c>
    </row>
    <row r="22" spans="1:62" ht="46.5" customHeight="1" thickBot="1" x14ac:dyDescent="0.25">
      <c r="A22" s="1480"/>
      <c r="B22" s="1325"/>
      <c r="C22" s="1325"/>
      <c r="D22" s="96" t="s">
        <v>644</v>
      </c>
      <c r="E22" s="119" t="s">
        <v>645</v>
      </c>
      <c r="F22" s="119" t="s">
        <v>646</v>
      </c>
      <c r="G22" s="101">
        <v>0.02</v>
      </c>
      <c r="H22" s="216">
        <v>4.3</v>
      </c>
      <c r="I22" s="1473">
        <v>0</v>
      </c>
      <c r="J22" s="998"/>
      <c r="K22" s="1226"/>
      <c r="L22" s="1226"/>
      <c r="M22" s="1226"/>
      <c r="N22" s="1226"/>
      <c r="O22" s="1226"/>
      <c r="P22" s="1226"/>
      <c r="Q22" s="998"/>
      <c r="R22" s="998"/>
      <c r="S22" s="1226"/>
      <c r="T22" s="1226"/>
      <c r="U22" s="998"/>
      <c r="V22" s="998"/>
      <c r="W22" s="1226"/>
      <c r="X22" s="1226"/>
      <c r="Y22" s="998"/>
      <c r="Z22" s="998"/>
      <c r="AA22" s="1226"/>
      <c r="AB22" s="1226"/>
      <c r="AC22" s="998"/>
      <c r="AD22" s="998"/>
      <c r="AE22" s="992">
        <v>1</v>
      </c>
      <c r="AF22" s="992"/>
      <c r="AG22" s="998"/>
      <c r="AH22" s="998"/>
      <c r="AI22" s="1226"/>
      <c r="AJ22" s="1226"/>
      <c r="AK22" s="998"/>
      <c r="AL22" s="998"/>
      <c r="AM22" s="1226"/>
      <c r="AN22" s="1226"/>
      <c r="AO22" s="998"/>
      <c r="AP22" s="998"/>
      <c r="AQ22" s="1226"/>
      <c r="AR22" s="1226"/>
      <c r="AS22" s="998"/>
      <c r="AT22" s="998"/>
      <c r="AU22" s="1226"/>
      <c r="AV22" s="1226"/>
      <c r="AW22" s="998"/>
      <c r="AX22" s="998"/>
      <c r="AY22" s="1226"/>
      <c r="AZ22" s="1226"/>
      <c r="BA22" s="1234"/>
      <c r="BB22" s="1234"/>
      <c r="BC22" s="992">
        <v>1</v>
      </c>
      <c r="BD22" s="1239"/>
      <c r="BE22" s="129">
        <f t="shared" si="0"/>
        <v>0</v>
      </c>
      <c r="BF22" s="162">
        <f t="shared" si="1"/>
        <v>2</v>
      </c>
      <c r="BG22" s="131">
        <f t="shared" si="2"/>
        <v>0</v>
      </c>
      <c r="BH22" s="132">
        <f t="shared" si="3"/>
        <v>0</v>
      </c>
      <c r="BI22" s="133">
        <f t="shared" si="4"/>
        <v>0.02</v>
      </c>
      <c r="BJ22" s="257">
        <f t="shared" si="5"/>
        <v>0</v>
      </c>
    </row>
    <row r="23" spans="1:62" ht="54.75" customHeight="1" thickBot="1" x14ac:dyDescent="0.25">
      <c r="A23" s="1480"/>
      <c r="B23" s="1325"/>
      <c r="C23" s="1325"/>
      <c r="D23" s="96" t="s">
        <v>647</v>
      </c>
      <c r="E23" s="119" t="s">
        <v>648</v>
      </c>
      <c r="F23" s="119" t="s">
        <v>649</v>
      </c>
      <c r="G23" s="101">
        <v>0.04</v>
      </c>
      <c r="H23" s="216">
        <v>4.4000000000000004</v>
      </c>
      <c r="I23" s="1473">
        <v>0</v>
      </c>
      <c r="J23" s="998"/>
      <c r="K23" s="1226"/>
      <c r="L23" s="1226"/>
      <c r="M23" s="1226"/>
      <c r="N23" s="1226"/>
      <c r="O23" s="1226"/>
      <c r="P23" s="1226"/>
      <c r="Q23" s="998"/>
      <c r="R23" s="998"/>
      <c r="S23" s="1226"/>
      <c r="T23" s="1226"/>
      <c r="U23" s="998"/>
      <c r="V23" s="998"/>
      <c r="W23" s="992">
        <v>1</v>
      </c>
      <c r="X23" s="992"/>
      <c r="Y23" s="998"/>
      <c r="Z23" s="998"/>
      <c r="AA23" s="1226"/>
      <c r="AB23" s="1226"/>
      <c r="AC23" s="998"/>
      <c r="AD23" s="998"/>
      <c r="AE23" s="1226"/>
      <c r="AF23" s="1226"/>
      <c r="AG23" s="998"/>
      <c r="AH23" s="998"/>
      <c r="AI23" s="1226"/>
      <c r="AJ23" s="1226"/>
      <c r="AK23" s="998"/>
      <c r="AL23" s="998"/>
      <c r="AM23" s="992">
        <v>1</v>
      </c>
      <c r="AN23" s="992"/>
      <c r="AO23" s="998"/>
      <c r="AP23" s="998"/>
      <c r="AQ23" s="1226"/>
      <c r="AR23" s="1226"/>
      <c r="AS23" s="998"/>
      <c r="AT23" s="998"/>
      <c r="AU23" s="1226"/>
      <c r="AV23" s="1226"/>
      <c r="AW23" s="998"/>
      <c r="AX23" s="998"/>
      <c r="AY23" s="1226"/>
      <c r="AZ23" s="1226"/>
      <c r="BA23" s="1234"/>
      <c r="BB23" s="1234"/>
      <c r="BC23" s="992">
        <v>1</v>
      </c>
      <c r="BD23" s="1239"/>
      <c r="BE23" s="129">
        <f t="shared" si="0"/>
        <v>0</v>
      </c>
      <c r="BF23" s="162">
        <f t="shared" si="1"/>
        <v>3</v>
      </c>
      <c r="BG23" s="131">
        <f t="shared" si="2"/>
        <v>0</v>
      </c>
      <c r="BH23" s="132">
        <f t="shared" si="3"/>
        <v>0</v>
      </c>
      <c r="BI23" s="133">
        <f t="shared" si="4"/>
        <v>0.04</v>
      </c>
      <c r="BJ23" s="257">
        <f t="shared" si="5"/>
        <v>0</v>
      </c>
    </row>
    <row r="24" spans="1:62" ht="57.75" thickBot="1" x14ac:dyDescent="0.25">
      <c r="A24" s="1480"/>
      <c r="B24" s="1325"/>
      <c r="C24" s="1325"/>
      <c r="D24" s="96" t="s">
        <v>650</v>
      </c>
      <c r="E24" s="102" t="s">
        <v>651</v>
      </c>
      <c r="F24" s="119" t="s">
        <v>593</v>
      </c>
      <c r="G24" s="224">
        <v>0.04</v>
      </c>
      <c r="H24" s="216">
        <v>4.5</v>
      </c>
      <c r="I24" s="1473">
        <v>0</v>
      </c>
      <c r="J24" s="998"/>
      <c r="K24" s="1226"/>
      <c r="L24" s="1226"/>
      <c r="M24" s="1226"/>
      <c r="N24" s="1226"/>
      <c r="O24" s="1226"/>
      <c r="P24" s="1226"/>
      <c r="Q24" s="998"/>
      <c r="R24" s="998"/>
      <c r="S24" s="1226"/>
      <c r="T24" s="1226"/>
      <c r="U24" s="998"/>
      <c r="V24" s="998"/>
      <c r="W24" s="1226"/>
      <c r="X24" s="1226"/>
      <c r="Y24" s="998"/>
      <c r="Z24" s="998"/>
      <c r="AA24" s="1226"/>
      <c r="AB24" s="1226"/>
      <c r="AC24" s="998"/>
      <c r="AD24" s="998"/>
      <c r="AE24" s="1226"/>
      <c r="AF24" s="1226"/>
      <c r="AG24" s="998"/>
      <c r="AH24" s="998"/>
      <c r="AI24" s="1226"/>
      <c r="AJ24" s="1226"/>
      <c r="AK24" s="998"/>
      <c r="AL24" s="998"/>
      <c r="AM24" s="1226"/>
      <c r="AN24" s="1226"/>
      <c r="AO24" s="998"/>
      <c r="AP24" s="998"/>
      <c r="AQ24" s="1226"/>
      <c r="AR24" s="1226"/>
      <c r="AS24" s="998"/>
      <c r="AT24" s="998"/>
      <c r="AU24" s="992">
        <v>1</v>
      </c>
      <c r="AV24" s="992"/>
      <c r="AW24" s="998"/>
      <c r="AX24" s="998"/>
      <c r="AY24" s="1226"/>
      <c r="AZ24" s="1226"/>
      <c r="BA24" s="1234"/>
      <c r="BB24" s="1234"/>
      <c r="BC24" s="1226"/>
      <c r="BD24" s="1240"/>
      <c r="BE24" s="129">
        <f t="shared" si="0"/>
        <v>0</v>
      </c>
      <c r="BF24" s="162">
        <f t="shared" si="1"/>
        <v>1</v>
      </c>
      <c r="BG24" s="131">
        <f t="shared" si="2"/>
        <v>0</v>
      </c>
      <c r="BH24" s="132">
        <f t="shared" si="3"/>
        <v>0</v>
      </c>
      <c r="BI24" s="133">
        <f t="shared" si="4"/>
        <v>0.04</v>
      </c>
      <c r="BJ24" s="257">
        <f t="shared" si="5"/>
        <v>0</v>
      </c>
    </row>
    <row r="25" spans="1:62" ht="55.5" customHeight="1" thickBot="1" x14ac:dyDescent="0.25">
      <c r="A25" s="1480" t="s">
        <v>652</v>
      </c>
      <c r="B25" s="1481">
        <v>0.2</v>
      </c>
      <c r="C25" s="1358" t="s">
        <v>245</v>
      </c>
      <c r="D25" s="1475" t="s">
        <v>653</v>
      </c>
      <c r="E25" s="218" t="s">
        <v>654</v>
      </c>
      <c r="F25" s="94" t="s">
        <v>655</v>
      </c>
      <c r="G25" s="101">
        <v>0.02</v>
      </c>
      <c r="H25" s="1477">
        <v>5.0999999999999996</v>
      </c>
      <c r="I25" s="1473">
        <v>0</v>
      </c>
      <c r="J25" s="998"/>
      <c r="K25" s="1226"/>
      <c r="L25" s="1226"/>
      <c r="M25" s="1226"/>
      <c r="N25" s="1226"/>
      <c r="O25" s="1226"/>
      <c r="P25" s="1226"/>
      <c r="Q25" s="998">
        <v>2</v>
      </c>
      <c r="R25" s="998"/>
      <c r="S25" s="992">
        <v>2</v>
      </c>
      <c r="T25" s="992"/>
      <c r="U25" s="998"/>
      <c r="V25" s="998"/>
      <c r="W25" s="1226"/>
      <c r="X25" s="1226"/>
      <c r="Y25" s="998"/>
      <c r="Z25" s="998"/>
      <c r="AA25" s="1226"/>
      <c r="AB25" s="1226"/>
      <c r="AC25" s="998"/>
      <c r="AD25" s="998"/>
      <c r="AE25" s="1226"/>
      <c r="AF25" s="1226"/>
      <c r="AG25" s="998"/>
      <c r="AH25" s="998"/>
      <c r="AI25" s="1226"/>
      <c r="AJ25" s="1226"/>
      <c r="AK25" s="998"/>
      <c r="AL25" s="998"/>
      <c r="AM25" s="1226"/>
      <c r="AN25" s="1226"/>
      <c r="AO25" s="998"/>
      <c r="AP25" s="998"/>
      <c r="AQ25" s="1226"/>
      <c r="AR25" s="1226"/>
      <c r="AS25" s="998"/>
      <c r="AT25" s="998"/>
      <c r="AU25" s="1226"/>
      <c r="AV25" s="1226"/>
      <c r="AW25" s="998"/>
      <c r="AX25" s="998"/>
      <c r="AY25" s="1226"/>
      <c r="AZ25" s="1226"/>
      <c r="BA25" s="1234"/>
      <c r="BB25" s="1234"/>
      <c r="BC25" s="1226"/>
      <c r="BD25" s="1240"/>
      <c r="BE25" s="129">
        <f t="shared" si="0"/>
        <v>2</v>
      </c>
      <c r="BF25" s="162">
        <f t="shared" si="1"/>
        <v>2</v>
      </c>
      <c r="BG25" s="131">
        <f t="shared" si="2"/>
        <v>1</v>
      </c>
      <c r="BH25" s="132">
        <f t="shared" si="3"/>
        <v>0.02</v>
      </c>
      <c r="BI25" s="133">
        <f t="shared" si="4"/>
        <v>0.02</v>
      </c>
      <c r="BJ25" s="257">
        <f t="shared" si="5"/>
        <v>0.02</v>
      </c>
    </row>
    <row r="26" spans="1:62" ht="43.5" thickBot="1" x14ac:dyDescent="0.25">
      <c r="A26" s="1480"/>
      <c r="B26" s="1481"/>
      <c r="C26" s="1359"/>
      <c r="D26" s="1476"/>
      <c r="E26" s="218" t="s">
        <v>656</v>
      </c>
      <c r="F26" s="94" t="s">
        <v>657</v>
      </c>
      <c r="G26" s="101">
        <v>0.03</v>
      </c>
      <c r="H26" s="1478"/>
      <c r="I26" s="1473">
        <v>0</v>
      </c>
      <c r="J26" s="998"/>
      <c r="K26" s="1226"/>
      <c r="L26" s="1226"/>
      <c r="M26" s="1226"/>
      <c r="N26" s="1226"/>
      <c r="O26" s="1226"/>
      <c r="P26" s="1226"/>
      <c r="Q26" s="998">
        <v>7</v>
      </c>
      <c r="R26" s="998"/>
      <c r="S26" s="992">
        <v>6</v>
      </c>
      <c r="T26" s="992"/>
      <c r="U26" s="998"/>
      <c r="V26" s="998"/>
      <c r="W26" s="1226"/>
      <c r="X26" s="1226"/>
      <c r="Y26" s="998"/>
      <c r="Z26" s="998"/>
      <c r="AA26" s="1226"/>
      <c r="AB26" s="1226"/>
      <c r="AC26" s="998"/>
      <c r="AD26" s="998"/>
      <c r="AE26" s="1226"/>
      <c r="AF26" s="1226"/>
      <c r="AG26" s="998"/>
      <c r="AH26" s="998"/>
      <c r="AI26" s="1226"/>
      <c r="AJ26" s="1226"/>
      <c r="AK26" s="998"/>
      <c r="AL26" s="998"/>
      <c r="AM26" s="1226"/>
      <c r="AN26" s="1226"/>
      <c r="AO26" s="998"/>
      <c r="AP26" s="998"/>
      <c r="AQ26" s="1226"/>
      <c r="AR26" s="1226"/>
      <c r="AS26" s="998"/>
      <c r="AT26" s="998"/>
      <c r="AU26" s="1226"/>
      <c r="AV26" s="1226"/>
      <c r="AW26" s="998"/>
      <c r="AX26" s="998"/>
      <c r="AY26" s="1226"/>
      <c r="AZ26" s="1226"/>
      <c r="BA26" s="1234"/>
      <c r="BB26" s="1234"/>
      <c r="BC26" s="1226"/>
      <c r="BD26" s="1240"/>
      <c r="BE26" s="129">
        <f t="shared" si="0"/>
        <v>7</v>
      </c>
      <c r="BF26" s="162">
        <f t="shared" si="1"/>
        <v>6</v>
      </c>
      <c r="BG26" s="131">
        <f t="shared" si="2"/>
        <v>1.1666666666666667</v>
      </c>
      <c r="BH26" s="132">
        <f t="shared" si="3"/>
        <v>3.5000000000000003E-2</v>
      </c>
      <c r="BI26" s="133">
        <f t="shared" si="4"/>
        <v>0.03</v>
      </c>
      <c r="BJ26" s="257">
        <f t="shared" si="5"/>
        <v>0.03</v>
      </c>
    </row>
    <row r="27" spans="1:62" ht="55.5" customHeight="1" thickBot="1" x14ac:dyDescent="0.25">
      <c r="A27" s="1480"/>
      <c r="B27" s="1481"/>
      <c r="C27" s="1359"/>
      <c r="D27" s="218" t="s">
        <v>658</v>
      </c>
      <c r="E27" s="218" t="s">
        <v>659</v>
      </c>
      <c r="F27" s="94" t="s">
        <v>660</v>
      </c>
      <c r="G27" s="101">
        <v>0.05</v>
      </c>
      <c r="H27" s="225">
        <v>5.2</v>
      </c>
      <c r="I27" s="1473" t="s">
        <v>805</v>
      </c>
      <c r="J27" s="998"/>
      <c r="K27" s="992">
        <v>9</v>
      </c>
      <c r="L27" s="992"/>
      <c r="M27" s="1226"/>
      <c r="N27" s="1226"/>
      <c r="O27" s="1226"/>
      <c r="P27" s="1226"/>
      <c r="Q27" s="998"/>
      <c r="R27" s="998"/>
      <c r="S27" s="1226"/>
      <c r="T27" s="1226"/>
      <c r="U27" s="998"/>
      <c r="V27" s="998"/>
      <c r="W27" s="1226"/>
      <c r="X27" s="1226"/>
      <c r="Y27" s="998"/>
      <c r="Z27" s="998"/>
      <c r="AA27" s="1226"/>
      <c r="AB27" s="1226"/>
      <c r="AC27" s="998"/>
      <c r="AD27" s="998"/>
      <c r="AE27" s="1226"/>
      <c r="AF27" s="1226"/>
      <c r="AG27" s="998"/>
      <c r="AH27" s="998"/>
      <c r="AI27" s="1226"/>
      <c r="AJ27" s="1226"/>
      <c r="AK27" s="998"/>
      <c r="AL27" s="998"/>
      <c r="AM27" s="1226"/>
      <c r="AN27" s="1226"/>
      <c r="AO27" s="998"/>
      <c r="AP27" s="998"/>
      <c r="AQ27" s="1226"/>
      <c r="AR27" s="1226"/>
      <c r="AS27" s="998"/>
      <c r="AT27" s="998"/>
      <c r="AU27" s="1226"/>
      <c r="AV27" s="1226"/>
      <c r="AW27" s="998"/>
      <c r="AX27" s="998"/>
      <c r="AY27" s="1226"/>
      <c r="AZ27" s="1226"/>
      <c r="BA27" s="1234"/>
      <c r="BB27" s="1234"/>
      <c r="BC27" s="1226"/>
      <c r="BD27" s="1240"/>
      <c r="BE27" s="129">
        <f t="shared" si="0"/>
        <v>9</v>
      </c>
      <c r="BF27" s="162">
        <f t="shared" si="1"/>
        <v>9</v>
      </c>
      <c r="BG27" s="131">
        <f t="shared" si="2"/>
        <v>1</v>
      </c>
      <c r="BH27" s="132">
        <f t="shared" si="3"/>
        <v>0.05</v>
      </c>
      <c r="BI27" s="133">
        <f t="shared" si="4"/>
        <v>0.05</v>
      </c>
      <c r="BJ27" s="257">
        <f t="shared" si="5"/>
        <v>0.05</v>
      </c>
    </row>
    <row r="28" spans="1:62" ht="55.5" customHeight="1" thickBot="1" x14ac:dyDescent="0.25">
      <c r="A28" s="1480"/>
      <c r="B28" s="1481"/>
      <c r="C28" s="1359"/>
      <c r="D28" s="218" t="s">
        <v>661</v>
      </c>
      <c r="E28" s="218" t="s">
        <v>662</v>
      </c>
      <c r="F28" s="119" t="s">
        <v>663</v>
      </c>
      <c r="G28" s="79">
        <v>0.05</v>
      </c>
      <c r="H28" s="225">
        <v>5.3</v>
      </c>
      <c r="I28" s="1474">
        <v>8.3299999999999999E-2</v>
      </c>
      <c r="J28" s="1282"/>
      <c r="K28" s="1222">
        <v>8.3299999999999999E-2</v>
      </c>
      <c r="L28" s="992"/>
      <c r="M28" s="1296">
        <v>8.3299999999999999E-2</v>
      </c>
      <c r="N28" s="1296"/>
      <c r="O28" s="1222">
        <v>8.3299999999999999E-2</v>
      </c>
      <c r="P28" s="992"/>
      <c r="Q28" s="998">
        <v>8.3299999999999999E-2</v>
      </c>
      <c r="R28" s="998"/>
      <c r="S28" s="1222">
        <v>8.3299999999999999E-2</v>
      </c>
      <c r="T28" s="992"/>
      <c r="U28" s="998"/>
      <c r="V28" s="998"/>
      <c r="W28" s="1222">
        <v>8.3299999999999999E-2</v>
      </c>
      <c r="X28" s="992"/>
      <c r="Y28" s="998"/>
      <c r="Z28" s="998"/>
      <c r="AA28" s="1222">
        <v>8.3299999999999999E-2</v>
      </c>
      <c r="AB28" s="992"/>
      <c r="AC28" s="998"/>
      <c r="AD28" s="998"/>
      <c r="AE28" s="1222">
        <v>8.3299999999999999E-2</v>
      </c>
      <c r="AF28" s="992"/>
      <c r="AG28" s="998"/>
      <c r="AH28" s="998"/>
      <c r="AI28" s="1222">
        <v>8.3299999999999999E-2</v>
      </c>
      <c r="AJ28" s="992"/>
      <c r="AK28" s="998"/>
      <c r="AL28" s="998"/>
      <c r="AM28" s="1222">
        <v>8.3299999999999999E-2</v>
      </c>
      <c r="AN28" s="992"/>
      <c r="AO28" s="998"/>
      <c r="AP28" s="998"/>
      <c r="AQ28" s="1222">
        <v>8.3299999999999999E-2</v>
      </c>
      <c r="AR28" s="992"/>
      <c r="AS28" s="998"/>
      <c r="AT28" s="998"/>
      <c r="AU28" s="1222">
        <v>8.3299999999999999E-2</v>
      </c>
      <c r="AV28" s="992"/>
      <c r="AW28" s="998"/>
      <c r="AX28" s="998"/>
      <c r="AY28" s="1222">
        <v>8.3299999999999999E-2</v>
      </c>
      <c r="AZ28" s="992"/>
      <c r="BA28" s="1234"/>
      <c r="BB28" s="1234"/>
      <c r="BC28" s="1222">
        <v>8.3699999999999997E-2</v>
      </c>
      <c r="BD28" s="1239"/>
      <c r="BE28" s="129">
        <f t="shared" si="0"/>
        <v>0.24990000000000001</v>
      </c>
      <c r="BF28" s="149">
        <f t="shared" si="1"/>
        <v>1</v>
      </c>
      <c r="BG28" s="131">
        <f t="shared" si="2"/>
        <v>0.24990000000000001</v>
      </c>
      <c r="BH28" s="132">
        <f t="shared" si="3"/>
        <v>1.2495000000000001E-2</v>
      </c>
      <c r="BI28" s="133">
        <f t="shared" si="4"/>
        <v>0.05</v>
      </c>
      <c r="BJ28" s="257">
        <f t="shared" si="5"/>
        <v>1.2495000000000001E-2</v>
      </c>
    </row>
    <row r="29" spans="1:62" ht="55.5" customHeight="1" thickBot="1" x14ac:dyDescent="0.25">
      <c r="A29" s="1480"/>
      <c r="B29" s="1481"/>
      <c r="C29" s="1360"/>
      <c r="D29" s="119" t="s">
        <v>664</v>
      </c>
      <c r="E29" s="93" t="s">
        <v>665</v>
      </c>
      <c r="F29" s="119" t="s">
        <v>666</v>
      </c>
      <c r="G29" s="101">
        <v>0.05</v>
      </c>
      <c r="H29" s="225">
        <v>5.4</v>
      </c>
      <c r="I29" s="1473" t="s">
        <v>806</v>
      </c>
      <c r="J29" s="998"/>
      <c r="K29" s="992">
        <v>1</v>
      </c>
      <c r="L29" s="992"/>
      <c r="M29" s="1226">
        <v>1</v>
      </c>
      <c r="N29" s="1226"/>
      <c r="O29" s="992">
        <v>1</v>
      </c>
      <c r="P29" s="992"/>
      <c r="Q29" s="998">
        <v>1</v>
      </c>
      <c r="R29" s="998"/>
      <c r="S29" s="992">
        <v>1</v>
      </c>
      <c r="T29" s="992"/>
      <c r="U29" s="998"/>
      <c r="V29" s="998"/>
      <c r="W29" s="992">
        <v>1</v>
      </c>
      <c r="X29" s="992"/>
      <c r="Y29" s="998"/>
      <c r="Z29" s="998"/>
      <c r="AA29" s="992">
        <v>1</v>
      </c>
      <c r="AB29" s="992"/>
      <c r="AC29" s="998"/>
      <c r="AD29" s="998"/>
      <c r="AE29" s="992">
        <v>1</v>
      </c>
      <c r="AF29" s="992"/>
      <c r="AG29" s="998"/>
      <c r="AH29" s="998"/>
      <c r="AI29" s="992">
        <v>1</v>
      </c>
      <c r="AJ29" s="992"/>
      <c r="AK29" s="998"/>
      <c r="AL29" s="998"/>
      <c r="AM29" s="992">
        <v>1</v>
      </c>
      <c r="AN29" s="992"/>
      <c r="AO29" s="998"/>
      <c r="AP29" s="998"/>
      <c r="AQ29" s="992">
        <v>1</v>
      </c>
      <c r="AR29" s="992"/>
      <c r="AS29" s="998"/>
      <c r="AT29" s="998"/>
      <c r="AU29" s="992">
        <v>1</v>
      </c>
      <c r="AV29" s="992"/>
      <c r="AW29" s="998"/>
      <c r="AX29" s="998"/>
      <c r="AY29" s="992">
        <v>1</v>
      </c>
      <c r="AZ29" s="992"/>
      <c r="BA29" s="1234"/>
      <c r="BB29" s="1234"/>
      <c r="BC29" s="992">
        <v>1</v>
      </c>
      <c r="BD29" s="1239"/>
      <c r="BE29" s="129">
        <f t="shared" si="0"/>
        <v>3</v>
      </c>
      <c r="BF29" s="162">
        <f t="shared" si="1"/>
        <v>12</v>
      </c>
      <c r="BG29" s="131">
        <f t="shared" si="2"/>
        <v>0.25</v>
      </c>
      <c r="BH29" s="132">
        <f t="shared" si="3"/>
        <v>1.2500000000000001E-2</v>
      </c>
      <c r="BI29" s="133">
        <f t="shared" si="4"/>
        <v>0.05</v>
      </c>
      <c r="BJ29" s="257">
        <f t="shared" si="5"/>
        <v>1.2500000000000001E-2</v>
      </c>
    </row>
    <row r="30" spans="1:62" ht="86.25" thickBot="1" x14ac:dyDescent="0.25">
      <c r="A30" s="227" t="s">
        <v>667</v>
      </c>
      <c r="B30" s="228">
        <v>0.03</v>
      </c>
      <c r="C30" s="229" t="s">
        <v>245</v>
      </c>
      <c r="D30" s="230" t="s">
        <v>668</v>
      </c>
      <c r="E30" s="97" t="s">
        <v>669</v>
      </c>
      <c r="F30" s="230" t="s">
        <v>670</v>
      </c>
      <c r="G30" s="231">
        <v>0.03</v>
      </c>
      <c r="H30" s="226">
        <v>6.1</v>
      </c>
      <c r="I30" s="1471">
        <v>8.3299999999999999E-2</v>
      </c>
      <c r="J30" s="1246"/>
      <c r="K30" s="1263">
        <v>8.3299999999999999E-2</v>
      </c>
      <c r="L30" s="1013"/>
      <c r="M30" s="1472">
        <v>8.3299999999999999E-2</v>
      </c>
      <c r="N30" s="1472"/>
      <c r="O30" s="1263">
        <v>8.3299999999999999E-2</v>
      </c>
      <c r="P30" s="1013"/>
      <c r="Q30" s="1016">
        <v>8.3299999999999999E-2</v>
      </c>
      <c r="R30" s="1016"/>
      <c r="S30" s="1263">
        <v>8.3299999999999999E-2</v>
      </c>
      <c r="T30" s="1013"/>
      <c r="U30" s="1016"/>
      <c r="V30" s="1016"/>
      <c r="W30" s="1263">
        <v>8.3299999999999999E-2</v>
      </c>
      <c r="X30" s="1013"/>
      <c r="Y30" s="1016"/>
      <c r="Z30" s="1016"/>
      <c r="AA30" s="1263">
        <v>8.3299999999999999E-2</v>
      </c>
      <c r="AB30" s="1013"/>
      <c r="AC30" s="1016"/>
      <c r="AD30" s="1016"/>
      <c r="AE30" s="1263">
        <v>8.3299999999999999E-2</v>
      </c>
      <c r="AF30" s="1013"/>
      <c r="AG30" s="1016"/>
      <c r="AH30" s="1016"/>
      <c r="AI30" s="1263">
        <v>8.3299999999999999E-2</v>
      </c>
      <c r="AJ30" s="1013"/>
      <c r="AK30" s="1016"/>
      <c r="AL30" s="1016"/>
      <c r="AM30" s="1263">
        <v>8.3299999999999999E-2</v>
      </c>
      <c r="AN30" s="1013"/>
      <c r="AO30" s="1016"/>
      <c r="AP30" s="1016"/>
      <c r="AQ30" s="1263">
        <v>8.3299999999999999E-2</v>
      </c>
      <c r="AR30" s="1013"/>
      <c r="AS30" s="1016"/>
      <c r="AT30" s="1016"/>
      <c r="AU30" s="1263">
        <v>8.3299999999999999E-2</v>
      </c>
      <c r="AV30" s="1013"/>
      <c r="AW30" s="1016"/>
      <c r="AX30" s="1016"/>
      <c r="AY30" s="1263">
        <v>8.3299999999999999E-2</v>
      </c>
      <c r="AZ30" s="1013"/>
      <c r="BA30" s="1234"/>
      <c r="BB30" s="1234"/>
      <c r="BC30" s="1263">
        <v>8.3699999999999997E-2</v>
      </c>
      <c r="BD30" s="1264"/>
      <c r="BE30" s="129">
        <f t="shared" si="0"/>
        <v>0.24990000000000001</v>
      </c>
      <c r="BF30" s="149">
        <f t="shared" si="1"/>
        <v>1</v>
      </c>
      <c r="BG30" s="131">
        <f t="shared" si="2"/>
        <v>0.24990000000000001</v>
      </c>
      <c r="BH30" s="132">
        <f t="shared" si="3"/>
        <v>7.4970000000000002E-3</v>
      </c>
      <c r="BI30" s="133">
        <f t="shared" si="4"/>
        <v>0.03</v>
      </c>
      <c r="BJ30" s="257">
        <f t="shared" si="5"/>
        <v>7.4970000000000002E-3</v>
      </c>
    </row>
    <row r="31" spans="1:62" ht="30.75" customHeight="1" x14ac:dyDescent="0.2">
      <c r="BH31" s="247">
        <f>SUM(BH5:BH30)</f>
        <v>0.39612200000000003</v>
      </c>
      <c r="BJ31" s="259">
        <f>SUM(BJ5:BJ30)</f>
        <v>0.37112200000000001</v>
      </c>
    </row>
    <row r="32" spans="1:62" ht="28.5" customHeight="1" x14ac:dyDescent="0.2">
      <c r="D32" s="876" t="s">
        <v>71</v>
      </c>
      <c r="E32" s="877" t="s">
        <v>73</v>
      </c>
      <c r="F32" s="877" t="s">
        <v>72</v>
      </c>
    </row>
    <row r="33" spans="4:66" ht="36.75" customHeight="1" x14ac:dyDescent="0.2">
      <c r="D33" s="25" t="str">
        <f>A5</f>
        <v>1. Coordinar y asesorar el proceso de  Planeación Institucional  2014-2018 y en el Plan Estratégico Sectorial</v>
      </c>
      <c r="E33" s="86">
        <f>B5</f>
        <v>0.1</v>
      </c>
      <c r="F33" s="26">
        <f>BH5+BH6+BH7+BH8</f>
        <v>5.7500000000000002E-2</v>
      </c>
      <c r="BG33" s="27" t="s">
        <v>834</v>
      </c>
      <c r="BJ33" s="27" t="s">
        <v>1145</v>
      </c>
      <c r="BM33" s="27" t="s">
        <v>1192</v>
      </c>
    </row>
    <row r="34" spans="4:66" ht="36.75" customHeight="1" x14ac:dyDescent="0.2">
      <c r="D34" s="25" t="str">
        <f>A9</f>
        <v>2. Coordinar y asesorar el proceso de Planeación institucional en todos los componentes y planes del Sistema Integrado de Gestión y Planeación.</v>
      </c>
      <c r="E34" s="86">
        <f>B9</f>
        <v>0.35</v>
      </c>
      <c r="F34" s="26">
        <f>BH9+BH10+BH11+BH12+BH13+BH14+BH15+BH16</f>
        <v>0.13749999999999998</v>
      </c>
      <c r="BG34" s="336" t="s">
        <v>830</v>
      </c>
      <c r="BH34" s="337"/>
      <c r="BJ34" s="336" t="s">
        <v>830</v>
      </c>
      <c r="BK34" s="337"/>
      <c r="BM34" s="336" t="s">
        <v>830</v>
      </c>
      <c r="BN34" s="337"/>
    </row>
    <row r="35" spans="4:66" ht="36.75" customHeight="1" x14ac:dyDescent="0.2">
      <c r="D35" s="25" t="str">
        <f>A17</f>
        <v>3. Coordinar, asesorar y acompañar el proceso de mejoramiento continuo del Sistema Integrado de Gestión de la Unidad Administrativa Especial de Organizaciones Solidarias.</v>
      </c>
      <c r="E35" s="86">
        <f>B17</f>
        <v>0.12</v>
      </c>
      <c r="F35" s="26">
        <f>BH17+BH18</f>
        <v>2.8630000000000003E-2</v>
      </c>
      <c r="BG35" s="336" t="s">
        <v>831</v>
      </c>
      <c r="BH35" s="337"/>
      <c r="BJ35" s="336" t="s">
        <v>831</v>
      </c>
      <c r="BK35" s="337"/>
      <c r="BM35" s="336" t="s">
        <v>831</v>
      </c>
      <c r="BN35" s="337"/>
    </row>
    <row r="36" spans="4:66" ht="36.75" customHeight="1" x14ac:dyDescent="0.2">
      <c r="D36" s="25" t="str">
        <f>A19</f>
        <v>4. Implementar el Plan Estadístico Institucional de acuerdo a lo proyectodo en el corto plazo.</v>
      </c>
      <c r="E36" s="86">
        <f>B19</f>
        <v>0.2</v>
      </c>
      <c r="F36" s="26">
        <f>BH19+BH20+BH21+BH22+BH23+BH24</f>
        <v>3.5000000000000003E-2</v>
      </c>
      <c r="BG36" s="336" t="s">
        <v>832</v>
      </c>
      <c r="BH36" s="337"/>
      <c r="BJ36" s="336" t="s">
        <v>832</v>
      </c>
      <c r="BK36" s="337"/>
      <c r="BM36" s="336" t="s">
        <v>832</v>
      </c>
      <c r="BN36" s="337"/>
    </row>
    <row r="37" spans="4:66" ht="36.75" customHeight="1" x14ac:dyDescent="0.2">
      <c r="D37" s="25" t="str">
        <f>A25</f>
        <v>5. Actualizar los proyectos de inversión para la solicitud de recursos y realizar seguimiento a la ejecución de los mismos.</v>
      </c>
      <c r="E37" s="86">
        <f>B25</f>
        <v>0.2</v>
      </c>
      <c r="F37" s="26">
        <f>BH25+BH26+BH27+BH28+BH29</f>
        <v>0.12999500000000003</v>
      </c>
      <c r="BG37" s="336" t="s">
        <v>833</v>
      </c>
      <c r="BH37" s="337"/>
      <c r="BJ37" s="336" t="s">
        <v>833</v>
      </c>
      <c r="BK37" s="337"/>
      <c r="BM37" s="336" t="s">
        <v>833</v>
      </c>
      <c r="BN37" s="337"/>
    </row>
    <row r="38" spans="4:66" ht="36.75" customHeight="1" x14ac:dyDescent="0.2">
      <c r="D38" s="25" t="str">
        <f>A30</f>
        <v>6. Apoyar el desarrollo de las actividades necesarias para las implementación de los criterios del Gobierno en Línea en la Unidad Administrativa Especial de Organizaciones Solidarias</v>
      </c>
      <c r="E38" s="86">
        <f>B30</f>
        <v>0.03</v>
      </c>
      <c r="F38" s="26">
        <f>BH30</f>
        <v>7.4970000000000002E-3</v>
      </c>
    </row>
    <row r="39" spans="4:66" ht="26.25" customHeight="1" x14ac:dyDescent="0.2">
      <c r="D39" s="878" t="s">
        <v>66</v>
      </c>
      <c r="E39" s="879">
        <f>SUM(E33:E38)</f>
        <v>1</v>
      </c>
      <c r="F39" s="879">
        <f>SUM(F33:F38)</f>
        <v>0.39612200000000003</v>
      </c>
    </row>
    <row r="47" spans="4:66" ht="25.5" x14ac:dyDescent="0.2">
      <c r="D47" s="876" t="s">
        <v>71</v>
      </c>
      <c r="E47" s="877" t="s">
        <v>73</v>
      </c>
      <c r="F47" s="877" t="s">
        <v>72</v>
      </c>
    </row>
    <row r="48" spans="4:66" ht="38.25" x14ac:dyDescent="0.2">
      <c r="D48" s="25" t="str">
        <f>D33</f>
        <v>1. Coordinar y asesorar el proceso de  Planeación Institucional  2014-2018 y en el Plan Estratégico Sectorial</v>
      </c>
      <c r="E48" s="86">
        <f>BJ5+BJ6+BJ7+BJ8</f>
        <v>5.7500000000000002E-2</v>
      </c>
      <c r="F48" s="86">
        <f>F33</f>
        <v>5.7500000000000002E-2</v>
      </c>
    </row>
    <row r="49" spans="4:6" ht="38.25" x14ac:dyDescent="0.2">
      <c r="D49" s="25" t="str">
        <f t="shared" ref="D49:D53" si="6">D34</f>
        <v>2. Coordinar y asesorar el proceso de Planeación institucional en todos los componentes y planes del Sistema Integrado de Gestión y Planeación.</v>
      </c>
      <c r="E49" s="86">
        <f>BJ9+BJ10+BJ11+BJ12+BJ13+BJ14+BJ15+BJ16</f>
        <v>0.13749999999999998</v>
      </c>
      <c r="F49" s="86">
        <f t="shared" ref="F49" si="7">F34</f>
        <v>0.13749999999999998</v>
      </c>
    </row>
    <row r="50" spans="4:6" ht="51" x14ac:dyDescent="0.2">
      <c r="D50" s="25" t="str">
        <f t="shared" si="6"/>
        <v>3. Coordinar, asesorar y acompañar el proceso de mejoramiento continuo del Sistema Integrado de Gestión de la Unidad Administrativa Especial de Organizaciones Solidarias.</v>
      </c>
      <c r="E50" s="86">
        <f>BJ17+BJ18</f>
        <v>2.8630000000000003E-2</v>
      </c>
      <c r="F50" s="86">
        <f t="shared" ref="F50" si="8">F35</f>
        <v>2.8630000000000003E-2</v>
      </c>
    </row>
    <row r="51" spans="4:6" ht="25.5" x14ac:dyDescent="0.2">
      <c r="D51" s="25" t="str">
        <f t="shared" si="6"/>
        <v>4. Implementar el Plan Estadístico Institucional de acuerdo a lo proyectodo en el corto plazo.</v>
      </c>
      <c r="E51" s="86">
        <f>BJ19+BJ20+BJ21+BJ22+BJ23+BJ24</f>
        <v>1.4999999999999999E-2</v>
      </c>
      <c r="F51" s="86">
        <f t="shared" ref="F51" si="9">F36</f>
        <v>3.5000000000000003E-2</v>
      </c>
    </row>
    <row r="52" spans="4:6" ht="38.25" x14ac:dyDescent="0.2">
      <c r="D52" s="25" t="str">
        <f t="shared" si="6"/>
        <v>5. Actualizar los proyectos de inversión para la solicitud de recursos y realizar seguimiento a la ejecución de los mismos.</v>
      </c>
      <c r="E52" s="86">
        <f>BJ25+BJ26+BJ27+BJ28+BJ29</f>
        <v>0.12499500000000001</v>
      </c>
      <c r="F52" s="86">
        <f t="shared" ref="F52" si="10">F37</f>
        <v>0.12999500000000003</v>
      </c>
    </row>
    <row r="53" spans="4:6" ht="51" x14ac:dyDescent="0.2">
      <c r="D53" s="25" t="str">
        <f t="shared" si="6"/>
        <v>6. Apoyar el desarrollo de las actividades necesarias para las implementación de los criterios del Gobierno en Línea en la Unidad Administrativa Especial de Organizaciones Solidarias</v>
      </c>
      <c r="E53" s="86">
        <f>BJ30</f>
        <v>7.4970000000000002E-3</v>
      </c>
      <c r="F53" s="86">
        <f t="shared" ref="F53" si="11">F38</f>
        <v>7.4970000000000002E-3</v>
      </c>
    </row>
    <row r="54" spans="4:6" x14ac:dyDescent="0.2">
      <c r="D54" s="878" t="s">
        <v>66</v>
      </c>
      <c r="E54" s="879">
        <f>SUM(E48:E53)</f>
        <v>0.37112200000000001</v>
      </c>
      <c r="F54" s="879">
        <f>SUM(F48:F53)</f>
        <v>0.39612200000000003</v>
      </c>
    </row>
  </sheetData>
  <mergeCells count="692">
    <mergeCell ref="I5:J5"/>
    <mergeCell ref="AS3:AV3"/>
    <mergeCell ref="AW3:AZ3"/>
    <mergeCell ref="BA3:BD3"/>
    <mergeCell ref="I4:J4"/>
    <mergeCell ref="K4:L4"/>
    <mergeCell ref="M4:N4"/>
    <mergeCell ref="O4:P4"/>
    <mergeCell ref="Q4:R4"/>
    <mergeCell ref="S4:T4"/>
    <mergeCell ref="U3:X3"/>
    <mergeCell ref="Y3:AB3"/>
    <mergeCell ref="AC3:AF3"/>
    <mergeCell ref="AG3:AJ3"/>
    <mergeCell ref="AK3:AN3"/>
    <mergeCell ref="AO3:AR3"/>
    <mergeCell ref="I3:L3"/>
    <mergeCell ref="M3:P3"/>
    <mergeCell ref="Q3:T3"/>
    <mergeCell ref="AY4:AZ4"/>
    <mergeCell ref="BA4:BB4"/>
    <mergeCell ref="BC4:BD4"/>
    <mergeCell ref="AG4:AH4"/>
    <mergeCell ref="AI4:AJ4"/>
    <mergeCell ref="A5:A8"/>
    <mergeCell ref="B5:B8"/>
    <mergeCell ref="C5:C8"/>
    <mergeCell ref="A9:A16"/>
    <mergeCell ref="B9:B16"/>
    <mergeCell ref="C9:C16"/>
    <mergeCell ref="H3:H4"/>
    <mergeCell ref="D3:D4"/>
    <mergeCell ref="E3:E4"/>
    <mergeCell ref="F3:F4"/>
    <mergeCell ref="G3:G4"/>
    <mergeCell ref="A3:A4"/>
    <mergeCell ref="B3:B4"/>
    <mergeCell ref="C3:C4"/>
    <mergeCell ref="AS4:AT4"/>
    <mergeCell ref="AU4:AV4"/>
    <mergeCell ref="AW4:AX4"/>
    <mergeCell ref="U4:V4"/>
    <mergeCell ref="W4:X4"/>
    <mergeCell ref="Y4:Z4"/>
    <mergeCell ref="AA4:AB4"/>
    <mergeCell ref="AC4:AD4"/>
    <mergeCell ref="AE4:AF4"/>
    <mergeCell ref="AM4:AN4"/>
    <mergeCell ref="AO4:AP4"/>
    <mergeCell ref="AQ4:AR4"/>
    <mergeCell ref="AK4:AL4"/>
    <mergeCell ref="K5:L5"/>
    <mergeCell ref="M5:N5"/>
    <mergeCell ref="O5:P5"/>
    <mergeCell ref="Q5:R5"/>
    <mergeCell ref="S5:T5"/>
    <mergeCell ref="AS5:AT5"/>
    <mergeCell ref="AU5:AV5"/>
    <mergeCell ref="AW5:AX5"/>
    <mergeCell ref="AY5:AZ5"/>
    <mergeCell ref="U5:V5"/>
    <mergeCell ref="W5:X5"/>
    <mergeCell ref="Y5:Z5"/>
    <mergeCell ref="AA5:AB5"/>
    <mergeCell ref="AC5:AD5"/>
    <mergeCell ref="AE5:AF5"/>
    <mergeCell ref="BA5:BB5"/>
    <mergeCell ref="BC5:BD5"/>
    <mergeCell ref="AG5:AH5"/>
    <mergeCell ref="AI5:AJ5"/>
    <mergeCell ref="AK5:AL5"/>
    <mergeCell ref="AM5:AN5"/>
    <mergeCell ref="AO5:AP5"/>
    <mergeCell ref="AQ5:AR5"/>
    <mergeCell ref="U6:V6"/>
    <mergeCell ref="W6:X6"/>
    <mergeCell ref="Y6:Z6"/>
    <mergeCell ref="AA6:AB6"/>
    <mergeCell ref="AC6:AD6"/>
    <mergeCell ref="AE6:AF6"/>
    <mergeCell ref="AY6:AZ6"/>
    <mergeCell ref="BA6:BB6"/>
    <mergeCell ref="BC6:BD6"/>
    <mergeCell ref="I6:J6"/>
    <mergeCell ref="K6:L6"/>
    <mergeCell ref="M6:N6"/>
    <mergeCell ref="O6:P6"/>
    <mergeCell ref="Q6:R6"/>
    <mergeCell ref="S6:T6"/>
    <mergeCell ref="AS6:AT6"/>
    <mergeCell ref="AU6:AV6"/>
    <mergeCell ref="AW6:AX6"/>
    <mergeCell ref="AG6:AH6"/>
    <mergeCell ref="AI6:AJ6"/>
    <mergeCell ref="AK6:AL6"/>
    <mergeCell ref="AM6:AN6"/>
    <mergeCell ref="AO6:AP6"/>
    <mergeCell ref="AQ6:AR6"/>
    <mergeCell ref="U7:V7"/>
    <mergeCell ref="W7:X7"/>
    <mergeCell ref="Y7:Z7"/>
    <mergeCell ref="AA7:AB7"/>
    <mergeCell ref="AC7:AD7"/>
    <mergeCell ref="AE7:AF7"/>
    <mergeCell ref="I7:J7"/>
    <mergeCell ref="K7:L7"/>
    <mergeCell ref="M7:N7"/>
    <mergeCell ref="O7:P7"/>
    <mergeCell ref="Q7:R7"/>
    <mergeCell ref="S7:T7"/>
    <mergeCell ref="AS7:AT7"/>
    <mergeCell ref="AU7:AV7"/>
    <mergeCell ref="AW7:AX7"/>
    <mergeCell ref="AY7:AZ7"/>
    <mergeCell ref="BA7:BB7"/>
    <mergeCell ref="BC7:BD7"/>
    <mergeCell ref="AG7:AH7"/>
    <mergeCell ref="AI7:AJ7"/>
    <mergeCell ref="AK7:AL7"/>
    <mergeCell ref="AM7:AN7"/>
    <mergeCell ref="AO7:AP7"/>
    <mergeCell ref="AQ7:AR7"/>
    <mergeCell ref="U8:V8"/>
    <mergeCell ref="W8:X8"/>
    <mergeCell ref="Y8:Z8"/>
    <mergeCell ref="AA8:AB8"/>
    <mergeCell ref="AC8:AD8"/>
    <mergeCell ref="AE8:AF8"/>
    <mergeCell ref="I8:J8"/>
    <mergeCell ref="K8:L8"/>
    <mergeCell ref="M8:N8"/>
    <mergeCell ref="O8:P8"/>
    <mergeCell ref="Q8:R8"/>
    <mergeCell ref="S8:T8"/>
    <mergeCell ref="AS8:AT8"/>
    <mergeCell ref="AU8:AV8"/>
    <mergeCell ref="AW8:AX8"/>
    <mergeCell ref="AY8:AZ8"/>
    <mergeCell ref="BA8:BB8"/>
    <mergeCell ref="BC8:BD8"/>
    <mergeCell ref="AG8:AH8"/>
    <mergeCell ref="AI8:AJ8"/>
    <mergeCell ref="AK8:AL8"/>
    <mergeCell ref="AM8:AN8"/>
    <mergeCell ref="AO8:AP8"/>
    <mergeCell ref="AQ8:AR8"/>
    <mergeCell ref="U9:V9"/>
    <mergeCell ref="W9:X9"/>
    <mergeCell ref="Y9:Z9"/>
    <mergeCell ref="AA9:AB9"/>
    <mergeCell ref="AC9:AD9"/>
    <mergeCell ref="AE9:AF9"/>
    <mergeCell ref="I9:J9"/>
    <mergeCell ref="K9:L9"/>
    <mergeCell ref="M9:N9"/>
    <mergeCell ref="O9:P9"/>
    <mergeCell ref="Q9:R9"/>
    <mergeCell ref="S9:T9"/>
    <mergeCell ref="AS9:AT9"/>
    <mergeCell ref="AU9:AV9"/>
    <mergeCell ref="AW9:AX9"/>
    <mergeCell ref="AY9:AZ9"/>
    <mergeCell ref="BA9:BB9"/>
    <mergeCell ref="BC9:BD9"/>
    <mergeCell ref="AG9:AH9"/>
    <mergeCell ref="AI9:AJ9"/>
    <mergeCell ref="AK9:AL9"/>
    <mergeCell ref="AM9:AN9"/>
    <mergeCell ref="AO9:AP9"/>
    <mergeCell ref="AQ9:AR9"/>
    <mergeCell ref="U10:V10"/>
    <mergeCell ref="W10:X10"/>
    <mergeCell ref="Y10:Z10"/>
    <mergeCell ref="AA10:AB10"/>
    <mergeCell ref="AC10:AD10"/>
    <mergeCell ref="AE10:AF10"/>
    <mergeCell ref="I10:J10"/>
    <mergeCell ref="K10:L10"/>
    <mergeCell ref="M10:N10"/>
    <mergeCell ref="O10:P10"/>
    <mergeCell ref="Q10:R10"/>
    <mergeCell ref="S10:T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1:V11"/>
    <mergeCell ref="W11:X11"/>
    <mergeCell ref="Y11:Z11"/>
    <mergeCell ref="AA11:AB11"/>
    <mergeCell ref="AC11:AD11"/>
    <mergeCell ref="AE11:AF11"/>
    <mergeCell ref="I11:J11"/>
    <mergeCell ref="K11:L11"/>
    <mergeCell ref="M11:N11"/>
    <mergeCell ref="O11:P11"/>
    <mergeCell ref="Q11:R11"/>
    <mergeCell ref="S11:T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2:V12"/>
    <mergeCell ref="W12:X12"/>
    <mergeCell ref="Y12:Z12"/>
    <mergeCell ref="AA12:AB12"/>
    <mergeCell ref="AC12:AD12"/>
    <mergeCell ref="AE12:AF12"/>
    <mergeCell ref="I12:J12"/>
    <mergeCell ref="K12:L12"/>
    <mergeCell ref="M12:N12"/>
    <mergeCell ref="O12:P12"/>
    <mergeCell ref="Q12:R12"/>
    <mergeCell ref="S12:T12"/>
    <mergeCell ref="AS12:AT12"/>
    <mergeCell ref="AU12:AV12"/>
    <mergeCell ref="AW12:AX12"/>
    <mergeCell ref="AY12:AZ12"/>
    <mergeCell ref="BA12:BB12"/>
    <mergeCell ref="BC12:BD12"/>
    <mergeCell ref="AG12:AH12"/>
    <mergeCell ref="AI12:AJ12"/>
    <mergeCell ref="AK12:AL12"/>
    <mergeCell ref="AM12:AN12"/>
    <mergeCell ref="AO12:AP12"/>
    <mergeCell ref="AQ12:AR12"/>
    <mergeCell ref="U13:V13"/>
    <mergeCell ref="W13:X13"/>
    <mergeCell ref="Y13:Z13"/>
    <mergeCell ref="AA13:AB13"/>
    <mergeCell ref="AC13:AD13"/>
    <mergeCell ref="AE13:AF13"/>
    <mergeCell ref="I13:J13"/>
    <mergeCell ref="K13:L13"/>
    <mergeCell ref="M13:N13"/>
    <mergeCell ref="O13:P13"/>
    <mergeCell ref="Q13:R13"/>
    <mergeCell ref="S13:T13"/>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4:V14"/>
    <mergeCell ref="W14:X14"/>
    <mergeCell ref="Y14:Z14"/>
    <mergeCell ref="AA14:AB14"/>
    <mergeCell ref="AC14:AD14"/>
    <mergeCell ref="AE14:AF14"/>
    <mergeCell ref="I14:J14"/>
    <mergeCell ref="K14:L14"/>
    <mergeCell ref="M14:N14"/>
    <mergeCell ref="O14:P14"/>
    <mergeCell ref="Q14:R14"/>
    <mergeCell ref="S14:T14"/>
    <mergeCell ref="AS14:AT14"/>
    <mergeCell ref="AU14:AV14"/>
    <mergeCell ref="AW14:AX14"/>
    <mergeCell ref="AY14:AZ14"/>
    <mergeCell ref="BA14:BB14"/>
    <mergeCell ref="BC14:BD14"/>
    <mergeCell ref="AG14:AH14"/>
    <mergeCell ref="AI14:AJ14"/>
    <mergeCell ref="AK14:AL14"/>
    <mergeCell ref="AM14:AN14"/>
    <mergeCell ref="AO14:AP14"/>
    <mergeCell ref="AQ14:AR14"/>
    <mergeCell ref="U15:V15"/>
    <mergeCell ref="W15:X15"/>
    <mergeCell ref="Y15:Z15"/>
    <mergeCell ref="AA15:AB15"/>
    <mergeCell ref="AC15:AD15"/>
    <mergeCell ref="AE15:AF15"/>
    <mergeCell ref="I15:J15"/>
    <mergeCell ref="K15:L15"/>
    <mergeCell ref="M15:N15"/>
    <mergeCell ref="O15:P15"/>
    <mergeCell ref="Q15:R15"/>
    <mergeCell ref="S15:T15"/>
    <mergeCell ref="AS15:AT15"/>
    <mergeCell ref="AU15:AV15"/>
    <mergeCell ref="AW15:AX15"/>
    <mergeCell ref="AY15:AZ15"/>
    <mergeCell ref="BA15:BB15"/>
    <mergeCell ref="BC15:BD15"/>
    <mergeCell ref="AG15:AH15"/>
    <mergeCell ref="AI15:AJ15"/>
    <mergeCell ref="AK15:AL15"/>
    <mergeCell ref="AM15:AN15"/>
    <mergeCell ref="AO15:AP15"/>
    <mergeCell ref="AQ15:AR15"/>
    <mergeCell ref="U16:V16"/>
    <mergeCell ref="W16:X16"/>
    <mergeCell ref="Y16:Z16"/>
    <mergeCell ref="AA16:AB16"/>
    <mergeCell ref="AC16:AD16"/>
    <mergeCell ref="AE16:AF16"/>
    <mergeCell ref="I16:J16"/>
    <mergeCell ref="K16:L16"/>
    <mergeCell ref="M16:N16"/>
    <mergeCell ref="O16:P16"/>
    <mergeCell ref="Q16:R16"/>
    <mergeCell ref="S16:T16"/>
    <mergeCell ref="AS16:AT16"/>
    <mergeCell ref="AU16:AV16"/>
    <mergeCell ref="AW16:AX16"/>
    <mergeCell ref="AY16:AZ16"/>
    <mergeCell ref="BA16:BB16"/>
    <mergeCell ref="BC16:BD16"/>
    <mergeCell ref="AG16:AH16"/>
    <mergeCell ref="AI16:AJ16"/>
    <mergeCell ref="AK16:AL16"/>
    <mergeCell ref="AM16:AN16"/>
    <mergeCell ref="AO16:AP16"/>
    <mergeCell ref="AQ16:AR16"/>
    <mergeCell ref="U17:V17"/>
    <mergeCell ref="W17:X17"/>
    <mergeCell ref="Y17:Z17"/>
    <mergeCell ref="AA17:AB17"/>
    <mergeCell ref="AC17:AD17"/>
    <mergeCell ref="AE17:AF17"/>
    <mergeCell ref="I17:J17"/>
    <mergeCell ref="K17:L17"/>
    <mergeCell ref="M17:N17"/>
    <mergeCell ref="O17:P17"/>
    <mergeCell ref="Q17:R17"/>
    <mergeCell ref="S17:T17"/>
    <mergeCell ref="AS17:AT17"/>
    <mergeCell ref="AU17:AV17"/>
    <mergeCell ref="AW17:AX17"/>
    <mergeCell ref="AY17:AZ17"/>
    <mergeCell ref="BA17:BB17"/>
    <mergeCell ref="BC17:BD17"/>
    <mergeCell ref="AG17:AH17"/>
    <mergeCell ref="AI17:AJ17"/>
    <mergeCell ref="AK17:AL17"/>
    <mergeCell ref="AM17:AN17"/>
    <mergeCell ref="AO17:AP17"/>
    <mergeCell ref="AQ17:AR17"/>
    <mergeCell ref="AY18:AZ18"/>
    <mergeCell ref="BA18:BB18"/>
    <mergeCell ref="BC18:BD18"/>
    <mergeCell ref="AG18:AH18"/>
    <mergeCell ref="AI18:AJ18"/>
    <mergeCell ref="AK18:AL18"/>
    <mergeCell ref="AM18:AN18"/>
    <mergeCell ref="AO18:AP18"/>
    <mergeCell ref="AQ18:AR18"/>
    <mergeCell ref="A19:A24"/>
    <mergeCell ref="B19:B24"/>
    <mergeCell ref="C19:C24"/>
    <mergeCell ref="A25:A29"/>
    <mergeCell ref="B25:B29"/>
    <mergeCell ref="C25:C29"/>
    <mergeCell ref="AS18:AT18"/>
    <mergeCell ref="AU18:AV18"/>
    <mergeCell ref="AW18:AX18"/>
    <mergeCell ref="U18:V18"/>
    <mergeCell ref="W18:X18"/>
    <mergeCell ref="Y18:Z18"/>
    <mergeCell ref="AA18:AB18"/>
    <mergeCell ref="AC18:AD18"/>
    <mergeCell ref="AE18:AF18"/>
    <mergeCell ref="I18:J18"/>
    <mergeCell ref="K18:L18"/>
    <mergeCell ref="M18:N18"/>
    <mergeCell ref="O18:P18"/>
    <mergeCell ref="Q18:R18"/>
    <mergeCell ref="S18:T18"/>
    <mergeCell ref="A17:A18"/>
    <mergeCell ref="B17:B18"/>
    <mergeCell ref="C17:C18"/>
    <mergeCell ref="AY19:AZ19"/>
    <mergeCell ref="BA19:BB19"/>
    <mergeCell ref="BC19:BD19"/>
    <mergeCell ref="AG19:AH19"/>
    <mergeCell ref="AI19:AJ19"/>
    <mergeCell ref="AK19:AL19"/>
    <mergeCell ref="AM19:AN19"/>
    <mergeCell ref="AO19:AP19"/>
    <mergeCell ref="AQ19:AR19"/>
    <mergeCell ref="AS19:AT19"/>
    <mergeCell ref="AU19:AV19"/>
    <mergeCell ref="AW19:AX19"/>
    <mergeCell ref="I19:J19"/>
    <mergeCell ref="K19:L19"/>
    <mergeCell ref="M19:N19"/>
    <mergeCell ref="O19:P19"/>
    <mergeCell ref="Q19:R19"/>
    <mergeCell ref="S19:T19"/>
    <mergeCell ref="AG20:AH20"/>
    <mergeCell ref="AI20:AJ20"/>
    <mergeCell ref="AK20:AL20"/>
    <mergeCell ref="U19:V19"/>
    <mergeCell ref="W19:X19"/>
    <mergeCell ref="Y19:Z19"/>
    <mergeCell ref="AA19:AB19"/>
    <mergeCell ref="AC19:AD19"/>
    <mergeCell ref="AE19:AF19"/>
    <mergeCell ref="Y20:Z20"/>
    <mergeCell ref="AA20:AB20"/>
    <mergeCell ref="AA21:AB21"/>
    <mergeCell ref="AC21:AD21"/>
    <mergeCell ref="AE21:AF21"/>
    <mergeCell ref="AG21:AH21"/>
    <mergeCell ref="AI21:AJ21"/>
    <mergeCell ref="D20:D21"/>
    <mergeCell ref="H20:H21"/>
    <mergeCell ref="I20:J20"/>
    <mergeCell ref="K20:L20"/>
    <mergeCell ref="M20:N20"/>
    <mergeCell ref="O20:P20"/>
    <mergeCell ref="BA20:BB20"/>
    <mergeCell ref="BC20:BD20"/>
    <mergeCell ref="I21:J21"/>
    <mergeCell ref="K21:L21"/>
    <mergeCell ref="M21:N21"/>
    <mergeCell ref="O21:P21"/>
    <mergeCell ref="Q21:R21"/>
    <mergeCell ref="S21:T21"/>
    <mergeCell ref="U21:V21"/>
    <mergeCell ref="W21:X21"/>
    <mergeCell ref="AO20:AP20"/>
    <mergeCell ref="AQ20:AR20"/>
    <mergeCell ref="AS20:AT20"/>
    <mergeCell ref="AU20:AV20"/>
    <mergeCell ref="AW20:AX20"/>
    <mergeCell ref="AY20:AZ20"/>
    <mergeCell ref="AC20:AD20"/>
    <mergeCell ref="AE20:AF20"/>
    <mergeCell ref="BC21:BD21"/>
    <mergeCell ref="AM20:AN20"/>
    <mergeCell ref="Q20:R20"/>
    <mergeCell ref="S20:T20"/>
    <mergeCell ref="U20:V20"/>
    <mergeCell ref="W20:X20"/>
    <mergeCell ref="BC22:BD22"/>
    <mergeCell ref="I22:J22"/>
    <mergeCell ref="K22:L22"/>
    <mergeCell ref="M22:N22"/>
    <mergeCell ref="O22:P22"/>
    <mergeCell ref="Q22:R22"/>
    <mergeCell ref="S22:T22"/>
    <mergeCell ref="AK21:AL21"/>
    <mergeCell ref="AM21:AN21"/>
    <mergeCell ref="AO21:AP21"/>
    <mergeCell ref="U22:V22"/>
    <mergeCell ref="W22:X22"/>
    <mergeCell ref="Y22:Z22"/>
    <mergeCell ref="AA22:AB22"/>
    <mergeCell ref="AC22:AD22"/>
    <mergeCell ref="AG22:AH22"/>
    <mergeCell ref="AI22:AJ22"/>
    <mergeCell ref="AK22:AL22"/>
    <mergeCell ref="AM22:AN22"/>
    <mergeCell ref="AO22:AP22"/>
    <mergeCell ref="AQ21:AR21"/>
    <mergeCell ref="AS21:AT21"/>
    <mergeCell ref="AU21:AV21"/>
    <mergeCell ref="Y21:Z21"/>
    <mergeCell ref="AY23:AZ23"/>
    <mergeCell ref="BA23:BB23"/>
    <mergeCell ref="AW21:AX21"/>
    <mergeCell ref="AY21:AZ21"/>
    <mergeCell ref="BA21:BB21"/>
    <mergeCell ref="AS22:AT22"/>
    <mergeCell ref="AU22:AV22"/>
    <mergeCell ref="AW22:AX22"/>
    <mergeCell ref="AY22:AZ22"/>
    <mergeCell ref="BA22:BB22"/>
    <mergeCell ref="BC23:BD23"/>
    <mergeCell ref="AE22:AF22"/>
    <mergeCell ref="I23:J23"/>
    <mergeCell ref="K23:L23"/>
    <mergeCell ref="M23:N23"/>
    <mergeCell ref="O23:P23"/>
    <mergeCell ref="Q23:R23"/>
    <mergeCell ref="S23:T23"/>
    <mergeCell ref="AS23:AT23"/>
    <mergeCell ref="AU23:AV23"/>
    <mergeCell ref="AW23:AX23"/>
    <mergeCell ref="AG23:AH23"/>
    <mergeCell ref="AI23:AJ23"/>
    <mergeCell ref="AK23:AL23"/>
    <mergeCell ref="AM23:AN23"/>
    <mergeCell ref="AO23:AP23"/>
    <mergeCell ref="AQ23:AR23"/>
    <mergeCell ref="AQ22:AR22"/>
    <mergeCell ref="U23:V23"/>
    <mergeCell ref="W23:X23"/>
    <mergeCell ref="Y23:Z23"/>
    <mergeCell ref="AA23:AB23"/>
    <mergeCell ref="AC23:AD23"/>
    <mergeCell ref="AE23:AF23"/>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D25:D26"/>
    <mergeCell ref="H25:H26"/>
    <mergeCell ref="I25:J25"/>
    <mergeCell ref="K25:L25"/>
    <mergeCell ref="M25:N25"/>
    <mergeCell ref="O25:P25"/>
    <mergeCell ref="AS24:AT24"/>
    <mergeCell ref="AU24:AV24"/>
    <mergeCell ref="AW24:AX24"/>
    <mergeCell ref="I24:J24"/>
    <mergeCell ref="K24:L24"/>
    <mergeCell ref="M24:N24"/>
    <mergeCell ref="O24:P24"/>
    <mergeCell ref="Q24:R24"/>
    <mergeCell ref="S24:T24"/>
    <mergeCell ref="AQ25:AR25"/>
    <mergeCell ref="AS25:AT25"/>
    <mergeCell ref="AU25:AV25"/>
    <mergeCell ref="AW25:AX25"/>
    <mergeCell ref="AY25:AZ25"/>
    <mergeCell ref="AC25:AD25"/>
    <mergeCell ref="AE25:AF25"/>
    <mergeCell ref="AG25:AH25"/>
    <mergeCell ref="AI25:AJ25"/>
    <mergeCell ref="AK25:AL25"/>
    <mergeCell ref="AM25:AN25"/>
    <mergeCell ref="I26:J26"/>
    <mergeCell ref="K26:L26"/>
    <mergeCell ref="M26:N26"/>
    <mergeCell ref="O26:P26"/>
    <mergeCell ref="Q26:R26"/>
    <mergeCell ref="S26:T26"/>
    <mergeCell ref="U26:V26"/>
    <mergeCell ref="W26:X26"/>
    <mergeCell ref="AO25:AP25"/>
    <mergeCell ref="Q25:R25"/>
    <mergeCell ref="S25:T25"/>
    <mergeCell ref="U25:V25"/>
    <mergeCell ref="W25:X25"/>
    <mergeCell ref="Y25:Z25"/>
    <mergeCell ref="AA25:AB25"/>
    <mergeCell ref="O27:P27"/>
    <mergeCell ref="Q27:R27"/>
    <mergeCell ref="S27:T27"/>
    <mergeCell ref="AK26:AL26"/>
    <mergeCell ref="AM26:AN26"/>
    <mergeCell ref="AO26:AP26"/>
    <mergeCell ref="AQ26:AR26"/>
    <mergeCell ref="AS26:AT26"/>
    <mergeCell ref="AU26:AV26"/>
    <mergeCell ref="Y26:Z26"/>
    <mergeCell ref="AA26:AB26"/>
    <mergeCell ref="AC26:AD26"/>
    <mergeCell ref="AE26:AF26"/>
    <mergeCell ref="AG26:AH26"/>
    <mergeCell ref="AI26:AJ26"/>
    <mergeCell ref="I28:J28"/>
    <mergeCell ref="K28:L28"/>
    <mergeCell ref="M28:N28"/>
    <mergeCell ref="O28:P28"/>
    <mergeCell ref="Q28:R28"/>
    <mergeCell ref="S28:T28"/>
    <mergeCell ref="AS27:AT27"/>
    <mergeCell ref="AU27:AV27"/>
    <mergeCell ref="AW27:AX27"/>
    <mergeCell ref="AG27:AH27"/>
    <mergeCell ref="AI27:AJ27"/>
    <mergeCell ref="AK27:AL27"/>
    <mergeCell ref="AM27:AN27"/>
    <mergeCell ref="AO27:AP27"/>
    <mergeCell ref="AQ27:AR27"/>
    <mergeCell ref="U27:V27"/>
    <mergeCell ref="W27:X27"/>
    <mergeCell ref="Y27:Z27"/>
    <mergeCell ref="AA27:AB27"/>
    <mergeCell ref="AC27:AD27"/>
    <mergeCell ref="AE27:AF27"/>
    <mergeCell ref="I27:J27"/>
    <mergeCell ref="K27:L27"/>
    <mergeCell ref="M27:N27"/>
    <mergeCell ref="O29:P29"/>
    <mergeCell ref="Q29:R29"/>
    <mergeCell ref="S29:T29"/>
    <mergeCell ref="AS28:AT28"/>
    <mergeCell ref="AU28:AV28"/>
    <mergeCell ref="AW28:AX28"/>
    <mergeCell ref="AY28:AZ28"/>
    <mergeCell ref="BA28:BB28"/>
    <mergeCell ref="BC28:BD28"/>
    <mergeCell ref="AG28:AH28"/>
    <mergeCell ref="AI28:AJ28"/>
    <mergeCell ref="AK28:AL28"/>
    <mergeCell ref="AM28:AN28"/>
    <mergeCell ref="AO28:AP28"/>
    <mergeCell ref="AQ28:AR28"/>
    <mergeCell ref="U28:V28"/>
    <mergeCell ref="W28:X28"/>
    <mergeCell ref="Y28:Z28"/>
    <mergeCell ref="AA28:AB28"/>
    <mergeCell ref="AC28:AD28"/>
    <mergeCell ref="AE28:AF28"/>
    <mergeCell ref="I30:J30"/>
    <mergeCell ref="K30:L30"/>
    <mergeCell ref="M30:N30"/>
    <mergeCell ref="O30:P30"/>
    <mergeCell ref="Q30:R30"/>
    <mergeCell ref="S30:T30"/>
    <mergeCell ref="AS29:AT29"/>
    <mergeCell ref="AU29:AV29"/>
    <mergeCell ref="AW29:AX29"/>
    <mergeCell ref="AG29:AH29"/>
    <mergeCell ref="AI29:AJ29"/>
    <mergeCell ref="AK29:AL29"/>
    <mergeCell ref="AM29:AN29"/>
    <mergeCell ref="AO29:AP29"/>
    <mergeCell ref="AQ29:AR29"/>
    <mergeCell ref="U29:V29"/>
    <mergeCell ref="W29:X29"/>
    <mergeCell ref="Y29:Z29"/>
    <mergeCell ref="AA29:AB29"/>
    <mergeCell ref="AC29:AD29"/>
    <mergeCell ref="AE29:AF29"/>
    <mergeCell ref="I29:J29"/>
    <mergeCell ref="K29:L29"/>
    <mergeCell ref="M29:N29"/>
    <mergeCell ref="AG30:AH30"/>
    <mergeCell ref="AI30:AJ30"/>
    <mergeCell ref="AK30:AL30"/>
    <mergeCell ref="AM30:AN30"/>
    <mergeCell ref="AO30:AP30"/>
    <mergeCell ref="AQ30:AR30"/>
    <mergeCell ref="U30:V30"/>
    <mergeCell ref="W30:X30"/>
    <mergeCell ref="Y30:Z30"/>
    <mergeCell ref="AA30:AB30"/>
    <mergeCell ref="AC30:AD30"/>
    <mergeCell ref="AE30:AF30"/>
    <mergeCell ref="BI3:BI4"/>
    <mergeCell ref="BE3:BE4"/>
    <mergeCell ref="BF3:BF4"/>
    <mergeCell ref="BG3:BG4"/>
    <mergeCell ref="BH3:BH4"/>
    <mergeCell ref="AS30:AT30"/>
    <mergeCell ref="AU30:AV30"/>
    <mergeCell ref="AW30:AX30"/>
    <mergeCell ref="AY30:AZ30"/>
    <mergeCell ref="BA30:BB30"/>
    <mergeCell ref="BC30:BD30"/>
    <mergeCell ref="AY29:AZ29"/>
    <mergeCell ref="BA29:BB29"/>
    <mergeCell ref="BC29:BD29"/>
    <mergeCell ref="AY27:AZ27"/>
    <mergeCell ref="BA27:BB27"/>
    <mergeCell ref="BC27:BD27"/>
    <mergeCell ref="AW26:AX26"/>
    <mergeCell ref="AY26:AZ26"/>
    <mergeCell ref="BA26:BB26"/>
    <mergeCell ref="BC26:BD26"/>
    <mergeCell ref="BA25:BB25"/>
    <mergeCell ref="BC25:BD25"/>
    <mergeCell ref="AY24:AZ24"/>
  </mergeCells>
  <conditionalFormatting sqref="BG5:BG30">
    <cfRule type="cellIs" dxfId="69" priority="1" operator="between">
      <formula>"0.5"</formula>
      <formula>1</formula>
    </cfRule>
  </conditionalFormatting>
  <printOptions horizontalCentered="1" verticalCentered="1"/>
  <pageMargins left="0.23622047244094491" right="0.23622047244094491" top="0.74803149606299213" bottom="0.55118110236220474" header="0.31496062992125984" footer="0.31496062992125984"/>
  <pageSetup paperSize="41" scale="52" orientation="landscape"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I34"/>
  <sheetViews>
    <sheetView tabSelected="1" topLeftCell="D1" zoomScale="70" zoomScaleNormal="70" zoomScaleSheetLayoutView="70" workbookViewId="0">
      <selection activeCell="BF5" sqref="BF5:BF15"/>
    </sheetView>
  </sheetViews>
  <sheetFormatPr baseColWidth="10" defaultRowHeight="12.75" x14ac:dyDescent="0.2"/>
  <cols>
    <col min="1" max="1" width="34" style="27" customWidth="1"/>
    <col min="2" max="2" width="23" style="2" customWidth="1"/>
    <col min="3" max="3" width="46.140625" style="27" customWidth="1"/>
    <col min="4" max="4" width="33" style="27" customWidth="1"/>
    <col min="5" max="5" width="33.7109375" style="27" customWidth="1"/>
    <col min="6" max="6" width="18" style="27" customWidth="1"/>
    <col min="7" max="7" width="13.85546875" style="27" customWidth="1"/>
    <col min="8" max="52" width="3.5703125" style="27" customWidth="1"/>
    <col min="53" max="53" width="3.28515625" style="27" customWidth="1"/>
    <col min="54" max="55" width="3.5703125" style="27" customWidth="1"/>
    <col min="56" max="60" width="11.42578125" style="27" customWidth="1"/>
    <col min="61" max="16384" width="11.42578125" style="27"/>
  </cols>
  <sheetData>
    <row r="1" spans="1:61" ht="15" x14ac:dyDescent="0.2">
      <c r="H1" s="28"/>
    </row>
    <row r="2" spans="1:61" ht="15.75" thickBot="1" x14ac:dyDescent="0.25">
      <c r="H2" s="28"/>
    </row>
    <row r="3" spans="1:61" ht="48" customHeight="1" x14ac:dyDescent="0.2">
      <c r="A3" s="1259" t="s">
        <v>99</v>
      </c>
      <c r="B3" s="1503" t="s">
        <v>100</v>
      </c>
      <c r="C3" s="1500" t="s">
        <v>101</v>
      </c>
      <c r="D3" s="1500" t="s">
        <v>102</v>
      </c>
      <c r="E3" s="1500" t="s">
        <v>103</v>
      </c>
      <c r="F3" s="1500" t="s">
        <v>104</v>
      </c>
      <c r="G3" s="1208" t="s">
        <v>6</v>
      </c>
      <c r="H3" s="1215" t="s">
        <v>7</v>
      </c>
      <c r="I3" s="1213"/>
      <c r="J3" s="1213"/>
      <c r="K3" s="1214"/>
      <c r="L3" s="1213" t="s">
        <v>8</v>
      </c>
      <c r="M3" s="1213"/>
      <c r="N3" s="1213"/>
      <c r="O3" s="1214"/>
      <c r="P3" s="1213" t="s">
        <v>9</v>
      </c>
      <c r="Q3" s="1213"/>
      <c r="R3" s="1213"/>
      <c r="S3" s="1214"/>
      <c r="T3" s="1213" t="s">
        <v>10</v>
      </c>
      <c r="U3" s="1213"/>
      <c r="V3" s="1213"/>
      <c r="W3" s="1214"/>
      <c r="X3" s="1213" t="s">
        <v>11</v>
      </c>
      <c r="Y3" s="1213"/>
      <c r="Z3" s="1213"/>
      <c r="AA3" s="1214"/>
      <c r="AB3" s="1213" t="s">
        <v>12</v>
      </c>
      <c r="AC3" s="1213"/>
      <c r="AD3" s="1213"/>
      <c r="AE3" s="1214"/>
      <c r="AF3" s="1213" t="s">
        <v>13</v>
      </c>
      <c r="AG3" s="1213"/>
      <c r="AH3" s="1213"/>
      <c r="AI3" s="1214"/>
      <c r="AJ3" s="1213" t="s">
        <v>14</v>
      </c>
      <c r="AK3" s="1213"/>
      <c r="AL3" s="1213"/>
      <c r="AM3" s="1214"/>
      <c r="AN3" s="1213" t="s">
        <v>15</v>
      </c>
      <c r="AO3" s="1213"/>
      <c r="AP3" s="1213"/>
      <c r="AQ3" s="1214"/>
      <c r="AR3" s="1213" t="s">
        <v>16</v>
      </c>
      <c r="AS3" s="1213"/>
      <c r="AT3" s="1213"/>
      <c r="AU3" s="1214"/>
      <c r="AV3" s="1213" t="s">
        <v>17</v>
      </c>
      <c r="AW3" s="1213"/>
      <c r="AX3" s="1213"/>
      <c r="AY3" s="1214"/>
      <c r="AZ3" s="1213" t="s">
        <v>18</v>
      </c>
      <c r="BA3" s="1213"/>
      <c r="BB3" s="1213"/>
      <c r="BC3" s="1214"/>
      <c r="BD3" s="1071" t="s">
        <v>66</v>
      </c>
      <c r="BE3" s="1073" t="s">
        <v>67</v>
      </c>
      <c r="BF3" s="1139" t="s">
        <v>68</v>
      </c>
      <c r="BG3" s="1141" t="s">
        <v>69</v>
      </c>
      <c r="BH3" s="1079" t="s">
        <v>241</v>
      </c>
    </row>
    <row r="4" spans="1:61" ht="87" customHeight="1" thickBot="1" x14ac:dyDescent="0.25">
      <c r="A4" s="1260"/>
      <c r="B4" s="1530"/>
      <c r="C4" s="1501"/>
      <c r="D4" s="1501"/>
      <c r="E4" s="1501"/>
      <c r="F4" s="1501"/>
      <c r="G4" s="1209"/>
      <c r="H4" s="1204" t="s">
        <v>19</v>
      </c>
      <c r="I4" s="1205"/>
      <c r="J4" s="1206" t="s">
        <v>20</v>
      </c>
      <c r="K4" s="1207"/>
      <c r="L4" s="1204" t="s">
        <v>19</v>
      </c>
      <c r="M4" s="1205"/>
      <c r="N4" s="1206" t="s">
        <v>20</v>
      </c>
      <c r="O4" s="1207"/>
      <c r="P4" s="1204" t="s">
        <v>19</v>
      </c>
      <c r="Q4" s="1205"/>
      <c r="R4" s="1206" t="s">
        <v>20</v>
      </c>
      <c r="S4" s="1207"/>
      <c r="T4" s="1204" t="s">
        <v>19</v>
      </c>
      <c r="U4" s="1205"/>
      <c r="V4" s="1206" t="s">
        <v>20</v>
      </c>
      <c r="W4" s="1207"/>
      <c r="X4" s="1204" t="s">
        <v>19</v>
      </c>
      <c r="Y4" s="1205"/>
      <c r="Z4" s="1206" t="s">
        <v>20</v>
      </c>
      <c r="AA4" s="1207"/>
      <c r="AB4" s="1204" t="s">
        <v>19</v>
      </c>
      <c r="AC4" s="1205"/>
      <c r="AD4" s="1206" t="s">
        <v>20</v>
      </c>
      <c r="AE4" s="1207"/>
      <c r="AF4" s="1204" t="s">
        <v>19</v>
      </c>
      <c r="AG4" s="1205"/>
      <c r="AH4" s="1206" t="s">
        <v>20</v>
      </c>
      <c r="AI4" s="1207"/>
      <c r="AJ4" s="1204" t="s">
        <v>19</v>
      </c>
      <c r="AK4" s="1205"/>
      <c r="AL4" s="1206" t="s">
        <v>20</v>
      </c>
      <c r="AM4" s="1207"/>
      <c r="AN4" s="1204" t="s">
        <v>19</v>
      </c>
      <c r="AO4" s="1205"/>
      <c r="AP4" s="1206" t="s">
        <v>20</v>
      </c>
      <c r="AQ4" s="1207"/>
      <c r="AR4" s="1204" t="s">
        <v>19</v>
      </c>
      <c r="AS4" s="1205"/>
      <c r="AT4" s="1206" t="s">
        <v>20</v>
      </c>
      <c r="AU4" s="1207"/>
      <c r="AV4" s="1204" t="s">
        <v>19</v>
      </c>
      <c r="AW4" s="1205"/>
      <c r="AX4" s="1206" t="s">
        <v>20</v>
      </c>
      <c r="AY4" s="1207"/>
      <c r="AZ4" s="1204" t="s">
        <v>19</v>
      </c>
      <c r="BA4" s="1205"/>
      <c r="BB4" s="1206" t="s">
        <v>20</v>
      </c>
      <c r="BC4" s="1207"/>
      <c r="BD4" s="1072"/>
      <c r="BE4" s="1074"/>
      <c r="BF4" s="1140"/>
      <c r="BG4" s="1142"/>
      <c r="BH4" s="1080"/>
    </row>
    <row r="5" spans="1:61" ht="73.5" customHeight="1" thickBot="1" x14ac:dyDescent="0.25">
      <c r="A5" s="1529" t="s">
        <v>671</v>
      </c>
      <c r="B5" s="1425">
        <v>0.27</v>
      </c>
      <c r="C5" s="232" t="s">
        <v>672</v>
      </c>
      <c r="D5" s="195" t="s">
        <v>673</v>
      </c>
      <c r="E5" s="233" t="s">
        <v>674</v>
      </c>
      <c r="F5" s="92">
        <v>0.15</v>
      </c>
      <c r="G5" s="100">
        <v>1.1000000000000001</v>
      </c>
      <c r="H5" s="1526">
        <v>8.3299999999999999E-2</v>
      </c>
      <c r="I5" s="1201"/>
      <c r="J5" s="1525">
        <v>8.3299999999999999E-2</v>
      </c>
      <c r="K5" s="1493"/>
      <c r="L5" s="1527">
        <v>8.3299999999999999E-2</v>
      </c>
      <c r="M5" s="1528"/>
      <c r="N5" s="1525">
        <v>8.3299999999999999E-2</v>
      </c>
      <c r="O5" s="1493"/>
      <c r="P5" s="1527">
        <v>8.3299999999999999E-2</v>
      </c>
      <c r="Q5" s="1528"/>
      <c r="R5" s="1525">
        <v>8.3299999999999999E-2</v>
      </c>
      <c r="S5" s="1493"/>
      <c r="T5" s="1200"/>
      <c r="U5" s="1201"/>
      <c r="V5" s="1525">
        <v>8.3299999999999999E-2</v>
      </c>
      <c r="W5" s="1493"/>
      <c r="X5" s="1200"/>
      <c r="Y5" s="1201"/>
      <c r="Z5" s="1525">
        <v>8.3299999999999999E-2</v>
      </c>
      <c r="AA5" s="1493"/>
      <c r="AB5" s="1200"/>
      <c r="AC5" s="1201"/>
      <c r="AD5" s="1525">
        <v>8.3299999999999999E-2</v>
      </c>
      <c r="AE5" s="1493"/>
      <c r="AF5" s="1200"/>
      <c r="AG5" s="1201"/>
      <c r="AH5" s="1525">
        <v>8.3299999999999999E-2</v>
      </c>
      <c r="AI5" s="1493"/>
      <c r="AJ5" s="1200"/>
      <c r="AK5" s="1201"/>
      <c r="AL5" s="1525">
        <v>8.3299999999999999E-2</v>
      </c>
      <c r="AM5" s="1493"/>
      <c r="AN5" s="1200"/>
      <c r="AO5" s="1201"/>
      <c r="AP5" s="1525">
        <v>8.3299999999999999E-2</v>
      </c>
      <c r="AQ5" s="1493"/>
      <c r="AR5" s="1200"/>
      <c r="AS5" s="1201"/>
      <c r="AT5" s="1525">
        <v>8.3299999999999999E-2</v>
      </c>
      <c r="AU5" s="1493"/>
      <c r="AV5" s="1200"/>
      <c r="AW5" s="1201"/>
      <c r="AX5" s="1525">
        <v>8.3299999999999999E-2</v>
      </c>
      <c r="AY5" s="1493"/>
      <c r="AZ5" s="1512"/>
      <c r="BA5" s="1513"/>
      <c r="BB5" s="1525">
        <v>8.3299999999999999E-2</v>
      </c>
      <c r="BC5" s="1493"/>
      <c r="BD5" s="263">
        <f>H5+L5+P5+T5+X5+AB5+AF5+AJ5+AN5+AR5+AV5+AZ5</f>
        <v>0.24990000000000001</v>
      </c>
      <c r="BE5" s="149">
        <f>J5+N5+R5+V5+Z5+AD5+AH5+AL5+AP5+AT5+AX5+BB5</f>
        <v>0.99960000000000016</v>
      </c>
      <c r="BF5" s="131">
        <f>BD5/BE5</f>
        <v>0.24999999999999997</v>
      </c>
      <c r="BG5" s="132">
        <f>F5*BF5</f>
        <v>3.7499999999999992E-2</v>
      </c>
      <c r="BH5" s="133">
        <f>F5</f>
        <v>0.15</v>
      </c>
      <c r="BI5" s="257">
        <f>((J5+N5+R5)/BE5)*BH5</f>
        <v>3.7499999999999992E-2</v>
      </c>
    </row>
    <row r="6" spans="1:61" ht="63" customHeight="1" thickBot="1" x14ac:dyDescent="0.25">
      <c r="A6" s="1262"/>
      <c r="B6" s="1033"/>
      <c r="C6" s="145" t="s">
        <v>675</v>
      </c>
      <c r="D6" s="53" t="s">
        <v>676</v>
      </c>
      <c r="E6" s="54" t="s">
        <v>677</v>
      </c>
      <c r="F6" s="79">
        <v>0.12</v>
      </c>
      <c r="G6" s="100">
        <v>1.2</v>
      </c>
      <c r="H6" s="1153"/>
      <c r="I6" s="1154"/>
      <c r="J6" s="1150"/>
      <c r="K6" s="1151"/>
      <c r="L6" s="1153"/>
      <c r="M6" s="1154"/>
      <c r="N6" s="1150"/>
      <c r="O6" s="1151"/>
      <c r="P6" s="1153"/>
      <c r="Q6" s="1154"/>
      <c r="R6" s="1150"/>
      <c r="S6" s="1151"/>
      <c r="T6" s="1153"/>
      <c r="U6" s="1154"/>
      <c r="V6" s="1150"/>
      <c r="W6" s="1151"/>
      <c r="X6" s="1153"/>
      <c r="Y6" s="1154"/>
      <c r="Z6" s="1010">
        <v>1</v>
      </c>
      <c r="AA6" s="1487"/>
      <c r="AB6" s="1153"/>
      <c r="AC6" s="1154"/>
      <c r="AD6" s="1150"/>
      <c r="AE6" s="1151"/>
      <c r="AF6" s="1153"/>
      <c r="AG6" s="1154"/>
      <c r="AH6" s="1150"/>
      <c r="AI6" s="1151"/>
      <c r="AJ6" s="1153"/>
      <c r="AK6" s="1154"/>
      <c r="AL6" s="1010">
        <v>1</v>
      </c>
      <c r="AM6" s="1487"/>
      <c r="AN6" s="1153"/>
      <c r="AO6" s="1154"/>
      <c r="AP6" s="1150"/>
      <c r="AQ6" s="1151"/>
      <c r="AR6" s="1153"/>
      <c r="AS6" s="1154"/>
      <c r="AT6" s="1150"/>
      <c r="AU6" s="1151"/>
      <c r="AV6" s="1153"/>
      <c r="AW6" s="1154"/>
      <c r="AX6" s="1150"/>
      <c r="AY6" s="1151"/>
      <c r="AZ6" s="1512"/>
      <c r="BA6" s="1513"/>
      <c r="BB6" s="1010">
        <v>1</v>
      </c>
      <c r="BC6" s="1520"/>
      <c r="BD6" s="129">
        <f t="shared" ref="BD6:BD15" si="0">H6+L6+P6+T6+X6+AB6+AF6+AJ6+AN6+AR6+AV6+AZ6</f>
        <v>0</v>
      </c>
      <c r="BE6" s="162">
        <f t="shared" ref="BE6:BE15" si="1">J6+N6+R6+V6+Z6+AD6+AH6+AL6+AP6+AT6+AX6+BB6</f>
        <v>3</v>
      </c>
      <c r="BF6" s="131">
        <f t="shared" ref="BF6:BF15" si="2">BD6/BE6</f>
        <v>0</v>
      </c>
      <c r="BG6" s="132">
        <f t="shared" ref="BG6:BG15" si="3">F6*BF6</f>
        <v>0</v>
      </c>
      <c r="BH6" s="133">
        <f t="shared" ref="BH6:BH15" si="4">F6</f>
        <v>0.12</v>
      </c>
      <c r="BI6" s="257">
        <f t="shared" ref="BI6:BI15" si="5">((J6+N6+R6)/BE6)*BH6</f>
        <v>0</v>
      </c>
    </row>
    <row r="7" spans="1:61" ht="42.75" customHeight="1" thickBot="1" x14ac:dyDescent="0.25">
      <c r="A7" s="1262" t="s">
        <v>678</v>
      </c>
      <c r="B7" s="1033">
        <v>0.28000000000000003</v>
      </c>
      <c r="C7" s="145" t="s">
        <v>679</v>
      </c>
      <c r="D7" s="234" t="s">
        <v>680</v>
      </c>
      <c r="E7" s="54" t="s">
        <v>681</v>
      </c>
      <c r="F7" s="79">
        <v>0.09</v>
      </c>
      <c r="G7" s="100">
        <v>2.1</v>
      </c>
      <c r="H7" s="1153"/>
      <c r="I7" s="1154"/>
      <c r="J7" s="1150"/>
      <c r="K7" s="1151"/>
      <c r="L7" s="1153"/>
      <c r="M7" s="1154"/>
      <c r="N7" s="1150"/>
      <c r="O7" s="1151"/>
      <c r="P7" s="1153"/>
      <c r="Q7" s="1154"/>
      <c r="R7" s="1150"/>
      <c r="S7" s="1151"/>
      <c r="T7" s="1153"/>
      <c r="U7" s="1154"/>
      <c r="V7" s="1150"/>
      <c r="W7" s="1151"/>
      <c r="X7" s="1153"/>
      <c r="Y7" s="1154"/>
      <c r="Z7" s="1150"/>
      <c r="AA7" s="1151"/>
      <c r="AB7" s="1153"/>
      <c r="AC7" s="1154"/>
      <c r="AD7" s="1150"/>
      <c r="AE7" s="1151"/>
      <c r="AF7" s="1153"/>
      <c r="AG7" s="1154"/>
      <c r="AH7" s="1150"/>
      <c r="AI7" s="1151"/>
      <c r="AJ7" s="1153"/>
      <c r="AK7" s="1154"/>
      <c r="AL7" s="1150"/>
      <c r="AM7" s="1151"/>
      <c r="AN7" s="1153"/>
      <c r="AO7" s="1154"/>
      <c r="AP7" s="1150"/>
      <c r="AQ7" s="1151"/>
      <c r="AR7" s="1153"/>
      <c r="AS7" s="1154"/>
      <c r="AT7" s="1150"/>
      <c r="AU7" s="1151"/>
      <c r="AV7" s="1153"/>
      <c r="AW7" s="1154"/>
      <c r="AX7" s="1150"/>
      <c r="AY7" s="1151"/>
      <c r="AZ7" s="1512"/>
      <c r="BA7" s="1513"/>
      <c r="BB7" s="1010">
        <v>3</v>
      </c>
      <c r="BC7" s="1520"/>
      <c r="BD7" s="129">
        <f t="shared" si="0"/>
        <v>0</v>
      </c>
      <c r="BE7" s="162">
        <f t="shared" si="1"/>
        <v>3</v>
      </c>
      <c r="BF7" s="131">
        <f t="shared" si="2"/>
        <v>0</v>
      </c>
      <c r="BG7" s="132">
        <f t="shared" si="3"/>
        <v>0</v>
      </c>
      <c r="BH7" s="133">
        <f t="shared" si="4"/>
        <v>0.09</v>
      </c>
      <c r="BI7" s="257">
        <f t="shared" si="5"/>
        <v>0</v>
      </c>
    </row>
    <row r="8" spans="1:61" ht="63" customHeight="1" thickBot="1" x14ac:dyDescent="0.25">
      <c r="A8" s="1262"/>
      <c r="B8" s="1033"/>
      <c r="C8" s="58" t="s">
        <v>682</v>
      </c>
      <c r="D8" s="58" t="s">
        <v>683</v>
      </c>
      <c r="E8" s="58" t="s">
        <v>684</v>
      </c>
      <c r="F8" s="79">
        <v>7.0000000000000007E-2</v>
      </c>
      <c r="G8" s="100">
        <v>2.2000000000000002</v>
      </c>
      <c r="H8" s="1153"/>
      <c r="I8" s="1154"/>
      <c r="J8" s="1150"/>
      <c r="K8" s="1151"/>
      <c r="L8" s="1153"/>
      <c r="M8" s="1154"/>
      <c r="N8" s="1150"/>
      <c r="O8" s="1151"/>
      <c r="P8" s="1153"/>
      <c r="Q8" s="1154"/>
      <c r="R8" s="1150"/>
      <c r="S8" s="1151"/>
      <c r="T8" s="1153"/>
      <c r="U8" s="1154"/>
      <c r="V8" s="1150"/>
      <c r="W8" s="1151"/>
      <c r="X8" s="1153"/>
      <c r="Y8" s="1154"/>
      <c r="Z8" s="1010">
        <v>1</v>
      </c>
      <c r="AA8" s="1487"/>
      <c r="AB8" s="1153"/>
      <c r="AC8" s="1154"/>
      <c r="AD8" s="1150"/>
      <c r="AE8" s="1151"/>
      <c r="AF8" s="1153"/>
      <c r="AG8" s="1154"/>
      <c r="AH8" s="1150"/>
      <c r="AI8" s="1151"/>
      <c r="AJ8" s="1153"/>
      <c r="AK8" s="1154"/>
      <c r="AL8" s="1010">
        <v>1</v>
      </c>
      <c r="AM8" s="1487"/>
      <c r="AN8" s="1153"/>
      <c r="AO8" s="1154"/>
      <c r="AP8" s="1150"/>
      <c r="AQ8" s="1151"/>
      <c r="AR8" s="1153"/>
      <c r="AS8" s="1154"/>
      <c r="AT8" s="1150"/>
      <c r="AU8" s="1151"/>
      <c r="AV8" s="1153"/>
      <c r="AW8" s="1154"/>
      <c r="AX8" s="1150"/>
      <c r="AY8" s="1151"/>
      <c r="AZ8" s="1512"/>
      <c r="BA8" s="1513"/>
      <c r="BB8" s="1010">
        <v>1</v>
      </c>
      <c r="BC8" s="1520"/>
      <c r="BD8" s="129">
        <f t="shared" si="0"/>
        <v>0</v>
      </c>
      <c r="BE8" s="162">
        <f t="shared" si="1"/>
        <v>3</v>
      </c>
      <c r="BF8" s="131">
        <f t="shared" si="2"/>
        <v>0</v>
      </c>
      <c r="BG8" s="132">
        <f t="shared" si="3"/>
        <v>0</v>
      </c>
      <c r="BH8" s="133">
        <f t="shared" si="4"/>
        <v>7.0000000000000007E-2</v>
      </c>
      <c r="BI8" s="257">
        <f t="shared" si="5"/>
        <v>0</v>
      </c>
    </row>
    <row r="9" spans="1:61" ht="54.75" customHeight="1" thickBot="1" x14ac:dyDescent="0.25">
      <c r="A9" s="1262"/>
      <c r="B9" s="1033"/>
      <c r="C9" s="145" t="s">
        <v>685</v>
      </c>
      <c r="D9" s="58" t="s">
        <v>686</v>
      </c>
      <c r="E9" s="58" t="s">
        <v>687</v>
      </c>
      <c r="F9" s="79">
        <v>0.12</v>
      </c>
      <c r="G9" s="100">
        <v>2.2999999999999998</v>
      </c>
      <c r="H9" s="1153"/>
      <c r="I9" s="1154"/>
      <c r="J9" s="1150"/>
      <c r="K9" s="1151"/>
      <c r="L9" s="1153"/>
      <c r="M9" s="1154"/>
      <c r="N9" s="1150"/>
      <c r="O9" s="1151"/>
      <c r="P9" s="1153">
        <v>1</v>
      </c>
      <c r="Q9" s="1154"/>
      <c r="R9" s="1010">
        <v>1</v>
      </c>
      <c r="S9" s="1487"/>
      <c r="T9" s="1153"/>
      <c r="U9" s="1154"/>
      <c r="V9" s="1150"/>
      <c r="W9" s="1151"/>
      <c r="X9" s="1153"/>
      <c r="Y9" s="1154"/>
      <c r="Z9" s="1150"/>
      <c r="AA9" s="1151"/>
      <c r="AB9" s="1153"/>
      <c r="AC9" s="1154"/>
      <c r="AD9" s="1150"/>
      <c r="AE9" s="1151"/>
      <c r="AF9" s="1153"/>
      <c r="AG9" s="1154"/>
      <c r="AH9" s="1010">
        <v>1</v>
      </c>
      <c r="AI9" s="1487"/>
      <c r="AJ9" s="1153"/>
      <c r="AK9" s="1154"/>
      <c r="AL9" s="1150"/>
      <c r="AM9" s="1151"/>
      <c r="AN9" s="1153"/>
      <c r="AO9" s="1154"/>
      <c r="AP9" s="1010">
        <v>1</v>
      </c>
      <c r="AQ9" s="1487"/>
      <c r="AR9" s="1153"/>
      <c r="AS9" s="1154"/>
      <c r="AT9" s="1150"/>
      <c r="AU9" s="1151"/>
      <c r="AV9" s="1153"/>
      <c r="AW9" s="1154"/>
      <c r="AX9" s="1150"/>
      <c r="AY9" s="1151"/>
      <c r="AZ9" s="1512"/>
      <c r="BA9" s="1513"/>
      <c r="BB9" s="1010">
        <v>1</v>
      </c>
      <c r="BC9" s="1520"/>
      <c r="BD9" s="129">
        <f t="shared" si="0"/>
        <v>1</v>
      </c>
      <c r="BE9" s="162">
        <f t="shared" si="1"/>
        <v>4</v>
      </c>
      <c r="BF9" s="131">
        <f t="shared" si="2"/>
        <v>0.25</v>
      </c>
      <c r="BG9" s="132">
        <f t="shared" si="3"/>
        <v>0.03</v>
      </c>
      <c r="BH9" s="133">
        <f t="shared" si="4"/>
        <v>0.12</v>
      </c>
      <c r="BI9" s="257">
        <f t="shared" si="5"/>
        <v>0.03</v>
      </c>
    </row>
    <row r="10" spans="1:61" ht="56.25" customHeight="1" thickBot="1" x14ac:dyDescent="0.25">
      <c r="A10" s="1262" t="s">
        <v>688</v>
      </c>
      <c r="B10" s="1033">
        <v>0.16</v>
      </c>
      <c r="C10" s="58" t="s">
        <v>689</v>
      </c>
      <c r="D10" s="234" t="s">
        <v>690</v>
      </c>
      <c r="E10" s="53" t="s">
        <v>691</v>
      </c>
      <c r="F10" s="79">
        <v>0.09</v>
      </c>
      <c r="G10" s="100">
        <v>3.1</v>
      </c>
      <c r="H10" s="1153"/>
      <c r="I10" s="1154"/>
      <c r="J10" s="1150"/>
      <c r="K10" s="1151"/>
      <c r="L10" s="1153"/>
      <c r="M10" s="1154"/>
      <c r="N10" s="1150"/>
      <c r="O10" s="1151"/>
      <c r="P10" s="1153"/>
      <c r="Q10" s="1154"/>
      <c r="R10" s="1150"/>
      <c r="S10" s="1151"/>
      <c r="T10" s="1153"/>
      <c r="U10" s="1154"/>
      <c r="V10" s="1150"/>
      <c r="W10" s="1151"/>
      <c r="X10" s="1153"/>
      <c r="Y10" s="1154"/>
      <c r="Z10" s="1150"/>
      <c r="AA10" s="1151"/>
      <c r="AB10" s="1153"/>
      <c r="AC10" s="1154"/>
      <c r="AD10" s="1150"/>
      <c r="AE10" s="1151"/>
      <c r="AF10" s="1153"/>
      <c r="AG10" s="1154"/>
      <c r="AH10" s="1010">
        <v>5</v>
      </c>
      <c r="AI10" s="1487"/>
      <c r="AJ10" s="1153"/>
      <c r="AK10" s="1154"/>
      <c r="AL10" s="1150"/>
      <c r="AM10" s="1151"/>
      <c r="AN10" s="1153"/>
      <c r="AO10" s="1154"/>
      <c r="AP10" s="1150"/>
      <c r="AQ10" s="1151"/>
      <c r="AR10" s="1153"/>
      <c r="AS10" s="1154"/>
      <c r="AT10" s="1150"/>
      <c r="AU10" s="1151"/>
      <c r="AV10" s="1153"/>
      <c r="AW10" s="1154"/>
      <c r="AX10" s="1150"/>
      <c r="AY10" s="1151"/>
      <c r="AZ10" s="1512"/>
      <c r="BA10" s="1513"/>
      <c r="BB10" s="1010">
        <v>5</v>
      </c>
      <c r="BC10" s="1520"/>
      <c r="BD10" s="129">
        <f t="shared" si="0"/>
        <v>0</v>
      </c>
      <c r="BE10" s="162">
        <f t="shared" si="1"/>
        <v>10</v>
      </c>
      <c r="BF10" s="131">
        <f t="shared" si="2"/>
        <v>0</v>
      </c>
      <c r="BG10" s="132">
        <f t="shared" si="3"/>
        <v>0</v>
      </c>
      <c r="BH10" s="133">
        <f t="shared" si="4"/>
        <v>0.09</v>
      </c>
      <c r="BI10" s="257">
        <f t="shared" si="5"/>
        <v>0</v>
      </c>
    </row>
    <row r="11" spans="1:61" ht="48.75" customHeight="1" thickBot="1" x14ac:dyDescent="0.25">
      <c r="A11" s="1262"/>
      <c r="B11" s="1033"/>
      <c r="C11" s="58" t="s">
        <v>692</v>
      </c>
      <c r="D11" s="235" t="s">
        <v>693</v>
      </c>
      <c r="E11" s="58" t="s">
        <v>694</v>
      </c>
      <c r="F11" s="79">
        <v>7.0000000000000007E-2</v>
      </c>
      <c r="G11" s="100">
        <v>3.2</v>
      </c>
      <c r="H11" s="1168"/>
      <c r="I11" s="1169"/>
      <c r="J11" s="1515"/>
      <c r="K11" s="1516"/>
      <c r="L11" s="1168"/>
      <c r="M11" s="1169"/>
      <c r="N11" s="1515"/>
      <c r="O11" s="1516"/>
      <c r="P11" s="1168"/>
      <c r="Q11" s="1169"/>
      <c r="R11" s="1515"/>
      <c r="S11" s="1516"/>
      <c r="T11" s="1168"/>
      <c r="U11" s="1169"/>
      <c r="V11" s="1517">
        <v>1</v>
      </c>
      <c r="W11" s="1519"/>
      <c r="X11" s="1168"/>
      <c r="Y11" s="1169"/>
      <c r="Z11" s="1515"/>
      <c r="AA11" s="1516"/>
      <c r="AB11" s="1168"/>
      <c r="AC11" s="1169"/>
      <c r="AD11" s="1515"/>
      <c r="AE11" s="1516"/>
      <c r="AF11" s="1168"/>
      <c r="AG11" s="1169"/>
      <c r="AH11" s="1515"/>
      <c r="AI11" s="1516"/>
      <c r="AJ11" s="1168"/>
      <c r="AK11" s="1169"/>
      <c r="AL11" s="1517">
        <v>1</v>
      </c>
      <c r="AM11" s="1519"/>
      <c r="AN11" s="1168"/>
      <c r="AO11" s="1169"/>
      <c r="AP11" s="1515"/>
      <c r="AQ11" s="1516"/>
      <c r="AR11" s="1168"/>
      <c r="AS11" s="1169"/>
      <c r="AT11" s="1515"/>
      <c r="AU11" s="1516"/>
      <c r="AV11" s="1168"/>
      <c r="AW11" s="1169"/>
      <c r="AX11" s="1515"/>
      <c r="AY11" s="1516"/>
      <c r="AZ11" s="1512"/>
      <c r="BA11" s="1513"/>
      <c r="BB11" s="1517">
        <v>1</v>
      </c>
      <c r="BC11" s="1518"/>
      <c r="BD11" s="129">
        <f t="shared" si="0"/>
        <v>0</v>
      </c>
      <c r="BE11" s="162">
        <f t="shared" si="1"/>
        <v>3</v>
      </c>
      <c r="BF11" s="131">
        <f t="shared" si="2"/>
        <v>0</v>
      </c>
      <c r="BG11" s="132">
        <f t="shared" si="3"/>
        <v>0</v>
      </c>
      <c r="BH11" s="133">
        <f t="shared" si="4"/>
        <v>7.0000000000000007E-2</v>
      </c>
      <c r="BI11" s="257">
        <f t="shared" si="5"/>
        <v>0</v>
      </c>
    </row>
    <row r="12" spans="1:61" ht="69.75" customHeight="1" thickBot="1" x14ac:dyDescent="0.25">
      <c r="A12" s="1262" t="s">
        <v>695</v>
      </c>
      <c r="B12" s="1033">
        <v>0.28999999999999998</v>
      </c>
      <c r="C12" s="58" t="s">
        <v>696</v>
      </c>
      <c r="D12" s="58" t="s">
        <v>697</v>
      </c>
      <c r="E12" s="58" t="s">
        <v>698</v>
      </c>
      <c r="F12" s="79">
        <v>0.06</v>
      </c>
      <c r="G12" s="100">
        <v>4.0999999999999996</v>
      </c>
      <c r="H12" s="1524">
        <v>8.3299999999999999E-2</v>
      </c>
      <c r="I12" s="998"/>
      <c r="J12" s="1222">
        <v>8.3299999999999999E-2</v>
      </c>
      <c r="K12" s="992"/>
      <c r="L12" s="1521">
        <v>8.3299999999999999E-2</v>
      </c>
      <c r="M12" s="1521"/>
      <c r="N12" s="1222">
        <v>8.3299999999999999E-2</v>
      </c>
      <c r="O12" s="992"/>
      <c r="P12" s="1521">
        <v>8.3299999999999999E-2</v>
      </c>
      <c r="Q12" s="1521"/>
      <c r="R12" s="1222">
        <v>8.3299999999999999E-2</v>
      </c>
      <c r="S12" s="992"/>
      <c r="T12" s="998"/>
      <c r="U12" s="998"/>
      <c r="V12" s="1222">
        <v>8.3299999999999999E-2</v>
      </c>
      <c r="W12" s="992"/>
      <c r="X12" s="998"/>
      <c r="Y12" s="998"/>
      <c r="Z12" s="1222">
        <v>8.3299999999999999E-2</v>
      </c>
      <c r="AA12" s="992"/>
      <c r="AB12" s="998"/>
      <c r="AC12" s="998"/>
      <c r="AD12" s="1222">
        <v>8.3299999999999999E-2</v>
      </c>
      <c r="AE12" s="992"/>
      <c r="AF12" s="998"/>
      <c r="AG12" s="998"/>
      <c r="AH12" s="1222">
        <v>8.3299999999999999E-2</v>
      </c>
      <c r="AI12" s="992"/>
      <c r="AJ12" s="998"/>
      <c r="AK12" s="998"/>
      <c r="AL12" s="1222">
        <v>8.3299999999999999E-2</v>
      </c>
      <c r="AM12" s="992"/>
      <c r="AN12" s="998"/>
      <c r="AO12" s="998"/>
      <c r="AP12" s="1222">
        <v>8.3299999999999999E-2</v>
      </c>
      <c r="AQ12" s="992"/>
      <c r="AR12" s="998"/>
      <c r="AS12" s="998"/>
      <c r="AT12" s="1222">
        <v>8.3299999999999999E-2</v>
      </c>
      <c r="AU12" s="992"/>
      <c r="AV12" s="998"/>
      <c r="AW12" s="998"/>
      <c r="AX12" s="1222">
        <v>8.3299999999999999E-2</v>
      </c>
      <c r="AY12" s="992"/>
      <c r="AZ12" s="998"/>
      <c r="BA12" s="998"/>
      <c r="BB12" s="1222">
        <v>8.3299999999999999E-2</v>
      </c>
      <c r="BC12" s="992"/>
      <c r="BD12" s="263">
        <f t="shared" si="0"/>
        <v>0.24990000000000001</v>
      </c>
      <c r="BE12" s="162">
        <f t="shared" si="1"/>
        <v>0.99960000000000016</v>
      </c>
      <c r="BF12" s="131">
        <f t="shared" si="2"/>
        <v>0.24999999999999997</v>
      </c>
      <c r="BG12" s="132">
        <f t="shared" si="3"/>
        <v>1.4999999999999998E-2</v>
      </c>
      <c r="BH12" s="133">
        <f t="shared" si="4"/>
        <v>0.06</v>
      </c>
      <c r="BI12" s="257">
        <f t="shared" si="5"/>
        <v>1.4999999999999998E-2</v>
      </c>
    </row>
    <row r="13" spans="1:61" ht="63.75" customHeight="1" thickBot="1" x14ac:dyDescent="0.25">
      <c r="A13" s="1262"/>
      <c r="B13" s="1033"/>
      <c r="C13" s="58" t="s">
        <v>699</v>
      </c>
      <c r="D13" s="53" t="s">
        <v>700</v>
      </c>
      <c r="E13" s="58" t="s">
        <v>701</v>
      </c>
      <c r="F13" s="79">
        <v>7.0000000000000007E-2</v>
      </c>
      <c r="G13" s="100">
        <v>4.2</v>
      </c>
      <c r="H13" s="1168"/>
      <c r="I13" s="1169"/>
      <c r="J13" s="1515"/>
      <c r="K13" s="1516"/>
      <c r="L13" s="1168"/>
      <c r="M13" s="1169"/>
      <c r="N13" s="1515"/>
      <c r="O13" s="1516"/>
      <c r="P13" s="1168">
        <v>2</v>
      </c>
      <c r="Q13" s="1169"/>
      <c r="R13" s="1517">
        <v>2</v>
      </c>
      <c r="S13" s="1519"/>
      <c r="T13" s="1168"/>
      <c r="U13" s="1169"/>
      <c r="V13" s="1515"/>
      <c r="W13" s="1516"/>
      <c r="X13" s="1168"/>
      <c r="Y13" s="1169"/>
      <c r="Z13" s="1515"/>
      <c r="AA13" s="1516"/>
      <c r="AB13" s="1168"/>
      <c r="AC13" s="1169"/>
      <c r="AD13" s="1515"/>
      <c r="AE13" s="1516"/>
      <c r="AF13" s="1168"/>
      <c r="AG13" s="1169"/>
      <c r="AH13" s="1515"/>
      <c r="AI13" s="1516"/>
      <c r="AJ13" s="1168"/>
      <c r="AK13" s="1169"/>
      <c r="AL13" s="1515"/>
      <c r="AM13" s="1516"/>
      <c r="AN13" s="1168"/>
      <c r="AO13" s="1169"/>
      <c r="AP13" s="1517">
        <v>1</v>
      </c>
      <c r="AQ13" s="1519"/>
      <c r="AR13" s="1168"/>
      <c r="AS13" s="1169"/>
      <c r="AT13" s="1515"/>
      <c r="AU13" s="1516"/>
      <c r="AV13" s="1168"/>
      <c r="AW13" s="1169"/>
      <c r="AX13" s="1515"/>
      <c r="AY13" s="1516"/>
      <c r="AZ13" s="1512"/>
      <c r="BA13" s="1513"/>
      <c r="BB13" s="1517">
        <v>1</v>
      </c>
      <c r="BC13" s="1518"/>
      <c r="BD13" s="129">
        <f t="shared" si="0"/>
        <v>2</v>
      </c>
      <c r="BE13" s="162">
        <f t="shared" si="1"/>
        <v>4</v>
      </c>
      <c r="BF13" s="131">
        <f t="shared" si="2"/>
        <v>0.5</v>
      </c>
      <c r="BG13" s="132">
        <f t="shared" si="3"/>
        <v>3.5000000000000003E-2</v>
      </c>
      <c r="BH13" s="133">
        <f t="shared" si="4"/>
        <v>7.0000000000000007E-2</v>
      </c>
      <c r="BI13" s="257">
        <f t="shared" si="5"/>
        <v>3.5000000000000003E-2</v>
      </c>
    </row>
    <row r="14" spans="1:61" ht="49.5" customHeight="1" thickBot="1" x14ac:dyDescent="0.25">
      <c r="A14" s="1262"/>
      <c r="B14" s="1033"/>
      <c r="C14" s="58" t="s">
        <v>702</v>
      </c>
      <c r="D14" s="58" t="s">
        <v>703</v>
      </c>
      <c r="E14" s="58" t="s">
        <v>704</v>
      </c>
      <c r="F14" s="79">
        <v>0.06</v>
      </c>
      <c r="G14" s="100">
        <v>4.3</v>
      </c>
      <c r="H14" s="1153"/>
      <c r="I14" s="1154"/>
      <c r="J14" s="1150"/>
      <c r="K14" s="1151"/>
      <c r="L14" s="1153"/>
      <c r="M14" s="1154"/>
      <c r="N14" s="1150"/>
      <c r="O14" s="1151"/>
      <c r="P14" s="1150">
        <v>1</v>
      </c>
      <c r="Q14" s="1151"/>
      <c r="R14" s="1010">
        <v>1</v>
      </c>
      <c r="S14" s="1487"/>
      <c r="T14" s="1153"/>
      <c r="U14" s="1154"/>
      <c r="V14" s="1150"/>
      <c r="W14" s="1151"/>
      <c r="X14" s="1153"/>
      <c r="Y14" s="1154"/>
      <c r="Z14" s="1150"/>
      <c r="AA14" s="1151"/>
      <c r="AB14" s="1153"/>
      <c r="AC14" s="1154"/>
      <c r="AD14" s="1010">
        <v>1</v>
      </c>
      <c r="AE14" s="1487"/>
      <c r="AF14" s="1153"/>
      <c r="AG14" s="1154"/>
      <c r="AH14" s="1150"/>
      <c r="AI14" s="1151"/>
      <c r="AJ14" s="1153"/>
      <c r="AK14" s="1154"/>
      <c r="AL14" s="1150"/>
      <c r="AM14" s="1151"/>
      <c r="AN14" s="1153"/>
      <c r="AO14" s="1154"/>
      <c r="AP14" s="1010">
        <v>1</v>
      </c>
      <c r="AQ14" s="1487"/>
      <c r="AR14" s="1153"/>
      <c r="AS14" s="1154"/>
      <c r="AT14" s="1150"/>
      <c r="AU14" s="1151"/>
      <c r="AV14" s="1153"/>
      <c r="AW14" s="1154"/>
      <c r="AX14" s="1150"/>
      <c r="AY14" s="1151"/>
      <c r="AZ14" s="1512"/>
      <c r="BA14" s="1513"/>
      <c r="BB14" s="1010">
        <v>1</v>
      </c>
      <c r="BC14" s="1520"/>
      <c r="BD14" s="129">
        <f t="shared" si="0"/>
        <v>1</v>
      </c>
      <c r="BE14" s="162">
        <f t="shared" si="1"/>
        <v>4</v>
      </c>
      <c r="BF14" s="131">
        <f t="shared" si="2"/>
        <v>0.25</v>
      </c>
      <c r="BG14" s="132">
        <f t="shared" si="3"/>
        <v>1.4999999999999999E-2</v>
      </c>
      <c r="BH14" s="133">
        <f t="shared" si="4"/>
        <v>0.06</v>
      </c>
      <c r="BI14" s="257">
        <f t="shared" si="5"/>
        <v>1.4999999999999999E-2</v>
      </c>
    </row>
    <row r="15" spans="1:61" ht="51" customHeight="1" thickBot="1" x14ac:dyDescent="0.25">
      <c r="A15" s="1522"/>
      <c r="B15" s="1523"/>
      <c r="C15" s="67" t="s">
        <v>705</v>
      </c>
      <c r="D15" s="67" t="s">
        <v>706</v>
      </c>
      <c r="E15" s="67" t="s">
        <v>707</v>
      </c>
      <c r="F15" s="84">
        <v>0.1</v>
      </c>
      <c r="G15" s="161">
        <v>4.4000000000000004</v>
      </c>
      <c r="H15" s="1148">
        <v>6836</v>
      </c>
      <c r="I15" s="1149"/>
      <c r="J15" s="1510">
        <v>10443</v>
      </c>
      <c r="K15" s="1511"/>
      <c r="L15" s="1148">
        <v>11593</v>
      </c>
      <c r="M15" s="1149"/>
      <c r="N15" s="1510">
        <v>10450</v>
      </c>
      <c r="O15" s="1511"/>
      <c r="P15" s="1148">
        <v>16255</v>
      </c>
      <c r="Q15" s="1149"/>
      <c r="R15" s="1510">
        <v>10450</v>
      </c>
      <c r="S15" s="1511"/>
      <c r="T15" s="1148"/>
      <c r="U15" s="1149"/>
      <c r="V15" s="1510">
        <v>10450</v>
      </c>
      <c r="W15" s="1511"/>
      <c r="X15" s="1148"/>
      <c r="Y15" s="1149"/>
      <c r="Z15" s="1510">
        <v>10450</v>
      </c>
      <c r="AA15" s="1511"/>
      <c r="AB15" s="1148"/>
      <c r="AC15" s="1149"/>
      <c r="AD15" s="1510">
        <v>10450</v>
      </c>
      <c r="AE15" s="1511"/>
      <c r="AF15" s="1148"/>
      <c r="AG15" s="1149"/>
      <c r="AH15" s="1510">
        <v>10450</v>
      </c>
      <c r="AI15" s="1511"/>
      <c r="AJ15" s="1148"/>
      <c r="AK15" s="1149"/>
      <c r="AL15" s="1510">
        <v>10450</v>
      </c>
      <c r="AM15" s="1511"/>
      <c r="AN15" s="1148"/>
      <c r="AO15" s="1149"/>
      <c r="AP15" s="1510">
        <v>10450</v>
      </c>
      <c r="AQ15" s="1511"/>
      <c r="AR15" s="1148"/>
      <c r="AS15" s="1149"/>
      <c r="AT15" s="1510">
        <v>10450</v>
      </c>
      <c r="AU15" s="1511"/>
      <c r="AV15" s="1148"/>
      <c r="AW15" s="1149"/>
      <c r="AX15" s="1510">
        <v>10450</v>
      </c>
      <c r="AY15" s="1511"/>
      <c r="AZ15" s="1512"/>
      <c r="BA15" s="1513"/>
      <c r="BB15" s="1510">
        <v>10450</v>
      </c>
      <c r="BC15" s="1514"/>
      <c r="BD15" s="129">
        <f t="shared" si="0"/>
        <v>34684</v>
      </c>
      <c r="BE15" s="162">
        <f t="shared" si="1"/>
        <v>125393</v>
      </c>
      <c r="BF15" s="281">
        <f t="shared" si="2"/>
        <v>0.27660236217332707</v>
      </c>
      <c r="BG15" s="132">
        <f t="shared" si="3"/>
        <v>2.7660236217332709E-2</v>
      </c>
      <c r="BH15" s="133">
        <f t="shared" si="4"/>
        <v>0.1</v>
      </c>
      <c r="BI15" s="257">
        <f t="shared" si="5"/>
        <v>2.4995813163414229E-2</v>
      </c>
    </row>
    <row r="16" spans="1:61" ht="37.5" customHeight="1" x14ac:dyDescent="0.2">
      <c r="BG16" s="280">
        <f>SUM(BG5:BG15)</f>
        <v>0.16016023621733272</v>
      </c>
      <c r="BI16" s="259">
        <f>SUM(BI5:BI15)</f>
        <v>0.15749581316341424</v>
      </c>
    </row>
    <row r="17" spans="3:5" ht="25.5" x14ac:dyDescent="0.2">
      <c r="C17" s="876" t="s">
        <v>71</v>
      </c>
      <c r="D17" s="877" t="s">
        <v>73</v>
      </c>
      <c r="E17" s="877" t="s">
        <v>72</v>
      </c>
    </row>
    <row r="18" spans="3:5" ht="51" x14ac:dyDescent="0.2">
      <c r="C18" s="25" t="str">
        <f>A5</f>
        <v>1. Implementar los lineamientos de TIC, para el programa de gobierno en línea - GEL-2018, según capitulo 1, titulo 9, Decreto 1078 de 2015, de acuerdo con los recursos disponibles.</v>
      </c>
      <c r="D18" s="86">
        <f>B5</f>
        <v>0.27</v>
      </c>
      <c r="E18" s="26">
        <f>BG5+BG6</f>
        <v>3.7499999999999992E-2</v>
      </c>
    </row>
    <row r="19" spans="3:5" ht="38.25" x14ac:dyDescent="0.2">
      <c r="C19" s="25" t="str">
        <f>A7</f>
        <v>2. Mantener en óptimas condiciones los componentes de software necesarios para el buen funcionamiento de la infraestructura informática.</v>
      </c>
      <c r="D19" s="86">
        <f>B7</f>
        <v>0.28000000000000003</v>
      </c>
      <c r="E19" s="26">
        <f>BG7+BG8+BG9</f>
        <v>0.03</v>
      </c>
    </row>
    <row r="20" spans="3:5" ht="38.25" x14ac:dyDescent="0.2">
      <c r="C20" s="25" t="str">
        <f>A10</f>
        <v>3. Mantener en óptimas condiciones los componentes de hardware en pro del buen funcionamiento de la infraestructura informática.</v>
      </c>
      <c r="D20" s="86">
        <f>B10</f>
        <v>0.16</v>
      </c>
      <c r="E20" s="26">
        <f>BG10+BG11</f>
        <v>0</v>
      </c>
    </row>
    <row r="21" spans="3:5" ht="25.5" x14ac:dyDescent="0.2">
      <c r="C21" s="25" t="str">
        <f>A12</f>
        <v>4. Gestionar servicios de Tecnologías de la Información y las Comunicaciones</v>
      </c>
      <c r="D21" s="86">
        <f>B12</f>
        <v>0.28999999999999998</v>
      </c>
      <c r="E21" s="26">
        <f>BG12+BG13+BG14+BG15</f>
        <v>9.2660236217332714E-2</v>
      </c>
    </row>
    <row r="22" spans="3:5" x14ac:dyDescent="0.2">
      <c r="C22" s="878" t="s">
        <v>66</v>
      </c>
      <c r="D22" s="879">
        <f>SUM(D18:D21)</f>
        <v>1</v>
      </c>
      <c r="E22" s="879">
        <f>SUM(E18:E21)</f>
        <v>0.16016023621733272</v>
      </c>
    </row>
    <row r="29" spans="3:5" ht="25.5" x14ac:dyDescent="0.2">
      <c r="C29" s="876" t="s">
        <v>71</v>
      </c>
      <c r="D29" s="877" t="s">
        <v>73</v>
      </c>
      <c r="E29" s="877" t="s">
        <v>72</v>
      </c>
    </row>
    <row r="30" spans="3:5" ht="51" x14ac:dyDescent="0.2">
      <c r="C30" s="25" t="str">
        <f>C18</f>
        <v>1. Implementar los lineamientos de TIC, para el programa de gobierno en línea - GEL-2018, según capitulo 1, titulo 9, Decreto 1078 de 2015, de acuerdo con los recursos disponibles.</v>
      </c>
      <c r="D30" s="269">
        <f>BI5+BI6</f>
        <v>3.7499999999999992E-2</v>
      </c>
      <c r="E30" s="269">
        <f>E18</f>
        <v>3.7499999999999992E-2</v>
      </c>
    </row>
    <row r="31" spans="3:5" ht="38.25" x14ac:dyDescent="0.2">
      <c r="C31" s="25" t="str">
        <f t="shared" ref="C31:C33" si="6">C19</f>
        <v>2. Mantener en óptimas condiciones los componentes de software necesarios para el buen funcionamiento de la infraestructura informática.</v>
      </c>
      <c r="D31" s="269">
        <f>BI7+BI8+BI9</f>
        <v>0.03</v>
      </c>
      <c r="E31" s="269">
        <f t="shared" ref="E31" si="7">E19</f>
        <v>0.03</v>
      </c>
    </row>
    <row r="32" spans="3:5" ht="38.25" x14ac:dyDescent="0.2">
      <c r="C32" s="25" t="str">
        <f t="shared" si="6"/>
        <v>3. Mantener en óptimas condiciones los componentes de hardware en pro del buen funcionamiento de la infraestructura informática.</v>
      </c>
      <c r="D32" s="269">
        <f>BI10+BI11</f>
        <v>0</v>
      </c>
      <c r="E32" s="269">
        <f t="shared" ref="E32" si="8">E20</f>
        <v>0</v>
      </c>
    </row>
    <row r="33" spans="3:5" ht="25.5" x14ac:dyDescent="0.2">
      <c r="C33" s="25" t="str">
        <f t="shared" si="6"/>
        <v>4. Gestionar servicios de Tecnologías de la Información y las Comunicaciones</v>
      </c>
      <c r="D33" s="269">
        <f>BI12+BI13+BI14+BI15</f>
        <v>8.9995813163414234E-2</v>
      </c>
      <c r="E33" s="269">
        <f t="shared" ref="E33" si="9">E21</f>
        <v>9.2660236217332714E-2</v>
      </c>
    </row>
    <row r="34" spans="3:5" x14ac:dyDescent="0.2">
      <c r="C34" s="878" t="s">
        <v>66</v>
      </c>
      <c r="D34" s="879">
        <f>SUM(D30:D33)</f>
        <v>0.15749581316341421</v>
      </c>
      <c r="E34" s="879">
        <f>SUM(E30:E33)</f>
        <v>0.16016023621733272</v>
      </c>
    </row>
  </sheetData>
  <mergeCells count="320">
    <mergeCell ref="C3:C4"/>
    <mergeCell ref="AV3:AY3"/>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P3:S3"/>
    <mergeCell ref="T3:W3"/>
    <mergeCell ref="V4:W4"/>
    <mergeCell ref="AV4:AW4"/>
    <mergeCell ref="AX4:AY4"/>
    <mergeCell ref="AZ4:BA4"/>
    <mergeCell ref="BB4:BC4"/>
    <mergeCell ref="A5:A6"/>
    <mergeCell ref="B5:B6"/>
    <mergeCell ref="AJ4:AK4"/>
    <mergeCell ref="AL4:AM4"/>
    <mergeCell ref="AN4:AO4"/>
    <mergeCell ref="AP4:AQ4"/>
    <mergeCell ref="AR4:AS4"/>
    <mergeCell ref="AT4:AU4"/>
    <mergeCell ref="X4:Y4"/>
    <mergeCell ref="Z4:AA4"/>
    <mergeCell ref="AB4:AC4"/>
    <mergeCell ref="AD4:AE4"/>
    <mergeCell ref="AF4:AG4"/>
    <mergeCell ref="AH4:AI4"/>
    <mergeCell ref="G3:G4"/>
    <mergeCell ref="D3:D4"/>
    <mergeCell ref="E3:E4"/>
    <mergeCell ref="F3:F4"/>
    <mergeCell ref="A3:A4"/>
    <mergeCell ref="B3:B4"/>
    <mergeCell ref="T5:U5"/>
    <mergeCell ref="V5:W5"/>
    <mergeCell ref="X5:Y5"/>
    <mergeCell ref="Z5:AA5"/>
    <mergeCell ref="AB5:AC5"/>
    <mergeCell ref="AD5:AE5"/>
    <mergeCell ref="H5:I5"/>
    <mergeCell ref="J5:K5"/>
    <mergeCell ref="L5:M5"/>
    <mergeCell ref="N5:O5"/>
    <mergeCell ref="P5:Q5"/>
    <mergeCell ref="R5:S5"/>
    <mergeCell ref="AR5:AS5"/>
    <mergeCell ref="AT5:AU5"/>
    <mergeCell ref="AV5:AW5"/>
    <mergeCell ref="AX5:AY5"/>
    <mergeCell ref="AZ5:BA5"/>
    <mergeCell ref="BB5:BC5"/>
    <mergeCell ref="AF5:AG5"/>
    <mergeCell ref="AH5:AI5"/>
    <mergeCell ref="AJ5:AK5"/>
    <mergeCell ref="AL5:AM5"/>
    <mergeCell ref="AN5:AO5"/>
    <mergeCell ref="AP5:AQ5"/>
    <mergeCell ref="T6:U6"/>
    <mergeCell ref="V6:W6"/>
    <mergeCell ref="X6:Y6"/>
    <mergeCell ref="Z6:AA6"/>
    <mergeCell ref="AB6:AC6"/>
    <mergeCell ref="AD6:AE6"/>
    <mergeCell ref="H6:I6"/>
    <mergeCell ref="J6:K6"/>
    <mergeCell ref="L6:M6"/>
    <mergeCell ref="N6:O6"/>
    <mergeCell ref="P6:Q6"/>
    <mergeCell ref="R6:S6"/>
    <mergeCell ref="AR6:AS6"/>
    <mergeCell ref="AT6:AU6"/>
    <mergeCell ref="AV6:AW6"/>
    <mergeCell ref="AX6:AY6"/>
    <mergeCell ref="AZ6:BA6"/>
    <mergeCell ref="BB6:BC6"/>
    <mergeCell ref="AF6:AG6"/>
    <mergeCell ref="AH6:AI6"/>
    <mergeCell ref="AJ6:AK6"/>
    <mergeCell ref="AL6:AM6"/>
    <mergeCell ref="AN6:AO6"/>
    <mergeCell ref="AP6:AQ6"/>
    <mergeCell ref="R7:S7"/>
    <mergeCell ref="T7:U7"/>
    <mergeCell ref="V7:W7"/>
    <mergeCell ref="X7:Y7"/>
    <mergeCell ref="A7:A9"/>
    <mergeCell ref="B7:B9"/>
    <mergeCell ref="H7:I7"/>
    <mergeCell ref="J7:K7"/>
    <mergeCell ref="L7:M7"/>
    <mergeCell ref="AX7:AY7"/>
    <mergeCell ref="AZ7:BA7"/>
    <mergeCell ref="BB7:BC7"/>
    <mergeCell ref="H8:I8"/>
    <mergeCell ref="J8:K8"/>
    <mergeCell ref="L8:M8"/>
    <mergeCell ref="N8:O8"/>
    <mergeCell ref="P8:Q8"/>
    <mergeCell ref="R8:S8"/>
    <mergeCell ref="T8:U8"/>
    <mergeCell ref="AL7:AM7"/>
    <mergeCell ref="AN7:AO7"/>
    <mergeCell ref="AP7:AQ7"/>
    <mergeCell ref="AR7:AS7"/>
    <mergeCell ref="AT7:AU7"/>
    <mergeCell ref="AV7:AW7"/>
    <mergeCell ref="Z7:AA7"/>
    <mergeCell ref="AB7:AC7"/>
    <mergeCell ref="AD7:AE7"/>
    <mergeCell ref="AF7:AG7"/>
    <mergeCell ref="AH7:AI7"/>
    <mergeCell ref="AJ7:AK7"/>
    <mergeCell ref="N7:O7"/>
    <mergeCell ref="P7:Q7"/>
    <mergeCell ref="AT8:AU8"/>
    <mergeCell ref="AV8:AW8"/>
    <mergeCell ref="AX8:AY8"/>
    <mergeCell ref="AZ8:BA8"/>
    <mergeCell ref="BB8:BC8"/>
    <mergeCell ref="H9:I9"/>
    <mergeCell ref="J9:K9"/>
    <mergeCell ref="L9:M9"/>
    <mergeCell ref="N9:O9"/>
    <mergeCell ref="P9:Q9"/>
    <mergeCell ref="AH8:AI8"/>
    <mergeCell ref="AJ8:AK8"/>
    <mergeCell ref="AL8:AM8"/>
    <mergeCell ref="AN8:AO8"/>
    <mergeCell ref="AP8:AQ8"/>
    <mergeCell ref="AR8:AS8"/>
    <mergeCell ref="V8:W8"/>
    <mergeCell ref="X8:Y8"/>
    <mergeCell ref="Z8:AA8"/>
    <mergeCell ref="AB8:AC8"/>
    <mergeCell ref="AD8:AE8"/>
    <mergeCell ref="AF8:AG8"/>
    <mergeCell ref="AJ9:AK9"/>
    <mergeCell ref="AL9:AM9"/>
    <mergeCell ref="AN9:AO9"/>
    <mergeCell ref="R9:S9"/>
    <mergeCell ref="T9:U9"/>
    <mergeCell ref="V9:W9"/>
    <mergeCell ref="X9:Y9"/>
    <mergeCell ref="Z9:AA9"/>
    <mergeCell ref="AB9:AC9"/>
    <mergeCell ref="T10:U10"/>
    <mergeCell ref="V10:W10"/>
    <mergeCell ref="X10:Y10"/>
    <mergeCell ref="Z10:AA10"/>
    <mergeCell ref="AB10:AC10"/>
    <mergeCell ref="AD10:AE10"/>
    <mergeCell ref="AF10:AG10"/>
    <mergeCell ref="AH10:AI10"/>
    <mergeCell ref="AJ10:AK10"/>
    <mergeCell ref="AL10:AM10"/>
    <mergeCell ref="AN10:AO10"/>
    <mergeCell ref="BB9:BC9"/>
    <mergeCell ref="A10:A11"/>
    <mergeCell ref="B10:B11"/>
    <mergeCell ref="H10:I10"/>
    <mergeCell ref="J10:K10"/>
    <mergeCell ref="L10:M10"/>
    <mergeCell ref="N10:O10"/>
    <mergeCell ref="P10:Q10"/>
    <mergeCell ref="R10:S10"/>
    <mergeCell ref="AP9:AQ9"/>
    <mergeCell ref="AR9:AS9"/>
    <mergeCell ref="AT9:AU9"/>
    <mergeCell ref="AV9:AW9"/>
    <mergeCell ref="AX9:AY9"/>
    <mergeCell ref="AZ9:BA9"/>
    <mergeCell ref="AD9:AE9"/>
    <mergeCell ref="AF9:AG9"/>
    <mergeCell ref="AH9:AI9"/>
    <mergeCell ref="AR10:AS10"/>
    <mergeCell ref="AT10:AU10"/>
    <mergeCell ref="AV10:AW10"/>
    <mergeCell ref="AX10:AY10"/>
    <mergeCell ref="AZ10:BA10"/>
    <mergeCell ref="BB10:BC10"/>
    <mergeCell ref="AP10:AQ10"/>
    <mergeCell ref="T11:U11"/>
    <mergeCell ref="V11:W11"/>
    <mergeCell ref="X11:Y11"/>
    <mergeCell ref="Z11:AA11"/>
    <mergeCell ref="AB11:AC11"/>
    <mergeCell ref="AD11:AE11"/>
    <mergeCell ref="H11:I11"/>
    <mergeCell ref="J11:K11"/>
    <mergeCell ref="L11:M11"/>
    <mergeCell ref="N11:O11"/>
    <mergeCell ref="P11:Q11"/>
    <mergeCell ref="R11:S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2:O12"/>
    <mergeCell ref="P12:Q12"/>
    <mergeCell ref="R12:S12"/>
    <mergeCell ref="T12:U12"/>
    <mergeCell ref="V12:W12"/>
    <mergeCell ref="X12:Y12"/>
    <mergeCell ref="A12:A15"/>
    <mergeCell ref="B12:B15"/>
    <mergeCell ref="H12:I12"/>
    <mergeCell ref="J12:K12"/>
    <mergeCell ref="L12:M12"/>
    <mergeCell ref="H14:I14"/>
    <mergeCell ref="J14:K14"/>
    <mergeCell ref="L14:M14"/>
    <mergeCell ref="N14:O14"/>
    <mergeCell ref="P14:Q14"/>
    <mergeCell ref="H13:I13"/>
    <mergeCell ref="J13:K13"/>
    <mergeCell ref="L13:M13"/>
    <mergeCell ref="N13:O13"/>
    <mergeCell ref="P13:Q13"/>
    <mergeCell ref="R13:S13"/>
    <mergeCell ref="T13:U13"/>
    <mergeCell ref="AL12:AM12"/>
    <mergeCell ref="AN12:AO12"/>
    <mergeCell ref="AP12:AQ12"/>
    <mergeCell ref="AR12:AS12"/>
    <mergeCell ref="AT12:AU12"/>
    <mergeCell ref="AV12:AW12"/>
    <mergeCell ref="Z12:AA12"/>
    <mergeCell ref="AB12:AC12"/>
    <mergeCell ref="AD12:AE12"/>
    <mergeCell ref="AF12:AG12"/>
    <mergeCell ref="AH12:AI12"/>
    <mergeCell ref="AJ12:AK12"/>
    <mergeCell ref="AH13:AI13"/>
    <mergeCell ref="AJ13:AK13"/>
    <mergeCell ref="AL13:AM13"/>
    <mergeCell ref="AN13:AO13"/>
    <mergeCell ref="V13:W13"/>
    <mergeCell ref="X13:Y13"/>
    <mergeCell ref="Z13:AA13"/>
    <mergeCell ref="AB13:AC13"/>
    <mergeCell ref="AD13:AE13"/>
    <mergeCell ref="AF13:AG13"/>
    <mergeCell ref="AH14:AI14"/>
    <mergeCell ref="AJ14:AK14"/>
    <mergeCell ref="AL14:AM14"/>
    <mergeCell ref="AN14:AO14"/>
    <mergeCell ref="R14:S14"/>
    <mergeCell ref="T14:U14"/>
    <mergeCell ref="V14:W14"/>
    <mergeCell ref="X14:Y14"/>
    <mergeCell ref="Z14:AA14"/>
    <mergeCell ref="AB14:AC14"/>
    <mergeCell ref="Z15:AA15"/>
    <mergeCell ref="AB15:AC15"/>
    <mergeCell ref="AD15:AE15"/>
    <mergeCell ref="AF15:AG15"/>
    <mergeCell ref="AH15:AI15"/>
    <mergeCell ref="AJ15:AK15"/>
    <mergeCell ref="BB14:BC14"/>
    <mergeCell ref="H15:I15"/>
    <mergeCell ref="J15:K15"/>
    <mergeCell ref="L15:M15"/>
    <mergeCell ref="N15:O15"/>
    <mergeCell ref="P15:Q15"/>
    <mergeCell ref="R15:S15"/>
    <mergeCell ref="T15:U15"/>
    <mergeCell ref="V15:W15"/>
    <mergeCell ref="X15:Y15"/>
    <mergeCell ref="AP14:AQ14"/>
    <mergeCell ref="AR14:AS14"/>
    <mergeCell ref="AT14:AU14"/>
    <mergeCell ref="AV14:AW14"/>
    <mergeCell ref="AX14:AY14"/>
    <mergeCell ref="AZ14:BA14"/>
    <mergeCell ref="AD14:AE14"/>
    <mergeCell ref="AF14:AG14"/>
    <mergeCell ref="BD3:BD4"/>
    <mergeCell ref="BE3:BE4"/>
    <mergeCell ref="BF3:BF4"/>
    <mergeCell ref="BG3:BG4"/>
    <mergeCell ref="BH3:BH4"/>
    <mergeCell ref="AX15:AY15"/>
    <mergeCell ref="AZ15:BA15"/>
    <mergeCell ref="BB15:BC15"/>
    <mergeCell ref="AL15:AM15"/>
    <mergeCell ref="AN15:AO15"/>
    <mergeCell ref="AP15:AQ15"/>
    <mergeCell ref="AR15:AS15"/>
    <mergeCell ref="AT15:AU15"/>
    <mergeCell ref="AV15:AW15"/>
    <mergeCell ref="AT13:AU13"/>
    <mergeCell ref="AV13:AW13"/>
    <mergeCell ref="AX13:AY13"/>
    <mergeCell ref="AZ13:BA13"/>
    <mergeCell ref="BB13:BC13"/>
    <mergeCell ref="AP13:AQ13"/>
    <mergeCell ref="AR13:AS13"/>
    <mergeCell ref="AX12:AY12"/>
    <mergeCell ref="AZ12:BA12"/>
    <mergeCell ref="BB12:BC12"/>
  </mergeCells>
  <conditionalFormatting sqref="BF5:BF15">
    <cfRule type="cellIs" dxfId="68" priority="1" operator="between">
      <formula>"0.5"</formula>
      <formula>1</formula>
    </cfRule>
  </conditionalFormatting>
  <printOptions horizontalCentered="1" verticalCentered="1"/>
  <pageMargins left="0.23622047244094491" right="0.23622047244094491" top="0.35433070866141736" bottom="0.35433070866141736" header="0.31496062992125984" footer="0.31496062992125984"/>
  <pageSetup paperSize="41" scale="53" orientation="landscape" r:id="rId1"/>
  <headerFooter alignWithMargins="0">
    <oddFooter>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18"/>
  <sheetViews>
    <sheetView workbookViewId="0">
      <selection activeCell="G41" sqref="G41"/>
    </sheetView>
  </sheetViews>
  <sheetFormatPr baseColWidth="10" defaultRowHeight="12.75" x14ac:dyDescent="0.2"/>
  <cols>
    <col min="1" max="1" width="11.42578125" style="1"/>
    <col min="2" max="2" width="37.42578125" style="1" customWidth="1"/>
    <col min="3" max="4" width="11.42578125" style="1"/>
    <col min="5" max="5" width="12.28515625" style="1" bestFit="1" customWidth="1"/>
    <col min="6" max="6" width="11.42578125" style="1"/>
    <col min="7" max="7" width="15" style="1" customWidth="1"/>
    <col min="8" max="16384" width="11.42578125" style="1"/>
  </cols>
  <sheetData>
    <row r="1" spans="2:8" ht="13.5" thickBot="1" x14ac:dyDescent="0.25">
      <c r="B1" s="72" t="s">
        <v>728</v>
      </c>
      <c r="H1" s="72" t="s">
        <v>729</v>
      </c>
    </row>
    <row r="2" spans="2:8" ht="26.25" thickBot="1" x14ac:dyDescent="0.25">
      <c r="B2" s="236" t="s">
        <v>708</v>
      </c>
      <c r="C2" s="237" t="s">
        <v>709</v>
      </c>
      <c r="D2" s="238" t="s">
        <v>710</v>
      </c>
    </row>
    <row r="3" spans="2:8" x14ac:dyDescent="0.2">
      <c r="B3" s="239" t="s">
        <v>715</v>
      </c>
      <c r="C3" s="255">
        <f>GEyP!BG20</f>
        <v>0.37211666666666671</v>
      </c>
      <c r="D3" s="265">
        <f>GEyP!BI20</f>
        <v>4.4499999999999998E-2</v>
      </c>
      <c r="E3" s="260" t="str">
        <f>IF(C3&gt;=D3,"SI","NO")</f>
        <v>SI</v>
      </c>
    </row>
    <row r="4" spans="2:8" x14ac:dyDescent="0.2">
      <c r="B4" s="239" t="s">
        <v>713</v>
      </c>
      <c r="C4" s="255">
        <f>GAESPO!BG20</f>
        <v>0.45748809523809525</v>
      </c>
      <c r="D4" s="265">
        <f>GAESPO!$BI$20</f>
        <v>0.19715476190476192</v>
      </c>
      <c r="E4" s="260" t="str">
        <f t="shared" ref="E4:E14" si="0">IF(C4&gt;=D4,"SI","NO")</f>
        <v>SI</v>
      </c>
    </row>
    <row r="5" spans="2:8" x14ac:dyDescent="0.2">
      <c r="B5" s="239" t="s">
        <v>712</v>
      </c>
      <c r="C5" s="255">
        <f>GDS!BG18</f>
        <v>0.22128333333333336</v>
      </c>
      <c r="D5" s="265">
        <f>GDS!BI18</f>
        <v>0.17266666666666669</v>
      </c>
      <c r="E5" s="260" t="str">
        <f t="shared" si="0"/>
        <v>SI</v>
      </c>
    </row>
    <row r="6" spans="2:8" x14ac:dyDescent="0.2">
      <c r="B6" s="239" t="s">
        <v>714</v>
      </c>
      <c r="C6" s="256">
        <f>OCI!BG15</f>
        <v>0.23975274726473528</v>
      </c>
      <c r="D6" s="265">
        <f>OCI!BI15</f>
        <v>0.2265151515151515</v>
      </c>
      <c r="E6" s="260" t="str">
        <f t="shared" si="0"/>
        <v>SI</v>
      </c>
    </row>
    <row r="7" spans="2:8" x14ac:dyDescent="0.2">
      <c r="B7" s="239" t="s">
        <v>716</v>
      </c>
      <c r="C7" s="256">
        <f>OAJ!BG19</f>
        <v>0.34389772727272733</v>
      </c>
      <c r="D7" s="265">
        <f>OAJ!BI19</f>
        <v>0.26813681818181817</v>
      </c>
      <c r="E7" s="260" t="str">
        <f t="shared" si="0"/>
        <v>SI</v>
      </c>
    </row>
    <row r="8" spans="2:8" x14ac:dyDescent="0.2">
      <c r="B8" s="239" t="s">
        <v>720</v>
      </c>
      <c r="C8" s="255">
        <f>GGH!BG29</f>
        <v>0.3776640714285715</v>
      </c>
      <c r="D8" s="265">
        <f>GGH!BI29</f>
        <v>0.3776640714285715</v>
      </c>
      <c r="E8" s="260" t="str">
        <f t="shared" si="0"/>
        <v>SI</v>
      </c>
    </row>
    <row r="9" spans="2:8" x14ac:dyDescent="0.2">
      <c r="B9" s="239" t="s">
        <v>718</v>
      </c>
      <c r="C9" s="255">
        <f>GGF!BG19</f>
        <v>0.26216820061357882</v>
      </c>
      <c r="D9" s="265">
        <f>GGF!BI19</f>
        <v>0.34972222222222232</v>
      </c>
      <c r="E9" s="260" t="str">
        <f t="shared" si="0"/>
        <v>NO</v>
      </c>
    </row>
    <row r="10" spans="2:8" x14ac:dyDescent="0.2">
      <c r="B10" s="239" t="s">
        <v>367</v>
      </c>
      <c r="C10" s="255">
        <f>GGA!BG25</f>
        <v>0.19111494186046513</v>
      </c>
      <c r="D10" s="265">
        <f>GGA!BI25</f>
        <v>0.15177946779964221</v>
      </c>
      <c r="E10" s="260" t="str">
        <f t="shared" si="0"/>
        <v>SI</v>
      </c>
    </row>
    <row r="11" spans="2:8" x14ac:dyDescent="0.2">
      <c r="B11" s="239" t="s">
        <v>581</v>
      </c>
      <c r="C11" s="255">
        <f>GCyP!BG25</f>
        <v>0.19207899274463885</v>
      </c>
      <c r="D11" s="265">
        <f>GCyP!BI25</f>
        <v>0.23091916548039979</v>
      </c>
      <c r="E11" s="260" t="str">
        <f t="shared" si="0"/>
        <v>NO</v>
      </c>
    </row>
    <row r="12" spans="2:8" x14ac:dyDescent="0.2">
      <c r="B12" s="239" t="s">
        <v>719</v>
      </c>
      <c r="C12" s="255">
        <f>GEeI!BG29</f>
        <v>0.24703599999999998</v>
      </c>
      <c r="D12" s="265">
        <f>GEeI!BI29</f>
        <v>0.18642424242424244</v>
      </c>
      <c r="E12" s="260" t="str">
        <f t="shared" si="0"/>
        <v>SI</v>
      </c>
    </row>
    <row r="13" spans="2:8" x14ac:dyDescent="0.2">
      <c r="B13" s="239" t="s">
        <v>717</v>
      </c>
      <c r="C13" s="255">
        <f>GPyE!BH31</f>
        <v>0.39612200000000003</v>
      </c>
      <c r="D13" s="265">
        <f>GPyE!BJ31</f>
        <v>0.37112200000000001</v>
      </c>
      <c r="E13" s="260" t="str">
        <f t="shared" si="0"/>
        <v>SI</v>
      </c>
    </row>
    <row r="14" spans="2:8" x14ac:dyDescent="0.2">
      <c r="B14" s="239" t="s">
        <v>711</v>
      </c>
      <c r="C14" s="255">
        <f>GTIC!BG16</f>
        <v>0.16016023621733272</v>
      </c>
      <c r="D14" s="265">
        <f>GTIC!BI16</f>
        <v>0.15749581316341424</v>
      </c>
      <c r="E14" s="260" t="str">
        <f t="shared" si="0"/>
        <v>SI</v>
      </c>
    </row>
    <row r="15" spans="2:8" ht="13.5" thickBot="1" x14ac:dyDescent="0.25">
      <c r="B15" s="240" t="s">
        <v>721</v>
      </c>
      <c r="C15" s="266">
        <f>AVERAGE(C3:C14)</f>
        <v>0.28840691772001209</v>
      </c>
      <c r="D15" s="266">
        <f>AVERAGE(D3:D14)</f>
        <v>0.22784169839890758</v>
      </c>
      <c r="E15" s="260" t="str">
        <f>IF(C15&gt;=D15,"SI","NO")</f>
        <v>SI</v>
      </c>
    </row>
    <row r="16" spans="2:8" x14ac:dyDescent="0.2">
      <c r="E16" s="260"/>
    </row>
    <row r="18" spans="2:2" x14ac:dyDescent="0.2">
      <c r="B18" s="72" t="s">
        <v>730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21"/>
  <sheetViews>
    <sheetView topLeftCell="D10" zoomScale="70" zoomScaleNormal="70" workbookViewId="0">
      <selection activeCell="L17" sqref="L17"/>
    </sheetView>
  </sheetViews>
  <sheetFormatPr baseColWidth="10" defaultColWidth="11.42578125" defaultRowHeight="15" x14ac:dyDescent="0.2"/>
  <cols>
    <col min="1" max="1" width="38.7109375" style="294" customWidth="1"/>
    <col min="2" max="2" width="21.85546875" style="294" customWidth="1"/>
    <col min="3" max="3" width="22.140625" style="294" customWidth="1"/>
    <col min="4" max="4" width="33.5703125" style="319" customWidth="1"/>
    <col min="5" max="5" width="36.140625" style="294" customWidth="1"/>
    <col min="6" max="6" width="40.42578125" style="294" customWidth="1"/>
    <col min="7" max="7" width="8.28515625" style="294" hidden="1" customWidth="1"/>
    <col min="8" max="8" width="7.85546875" style="320" hidden="1" customWidth="1"/>
    <col min="9" max="9" width="9" style="320" hidden="1" customWidth="1"/>
    <col min="10" max="10" width="8.140625" style="320" customWidth="1"/>
    <col min="11" max="11" width="8.42578125" style="320" hidden="1" customWidth="1"/>
    <col min="12" max="12" width="16.85546875" style="294" customWidth="1"/>
    <col min="13" max="13" width="18.42578125" style="294" customWidth="1"/>
    <col min="14" max="14" width="19" style="294" customWidth="1"/>
    <col min="15" max="15" width="19.85546875" style="294" customWidth="1"/>
    <col min="16" max="16" width="15.7109375" style="294" customWidth="1"/>
    <col min="17" max="19" width="11.42578125" style="294" hidden="1" customWidth="1"/>
    <col min="20" max="20" width="11.42578125" style="294" customWidth="1"/>
    <col min="21" max="21" width="18.140625" style="294" customWidth="1"/>
    <col min="22" max="22" width="13.5703125" style="294" bestFit="1" customWidth="1"/>
    <col min="23" max="25" width="11.42578125" style="294"/>
    <col min="26" max="26" width="15.85546875" style="294" bestFit="1" customWidth="1"/>
    <col min="27" max="16384" width="11.42578125" style="294"/>
  </cols>
  <sheetData>
    <row r="1" spans="1:26" ht="45" x14ac:dyDescent="0.2">
      <c r="A1" s="295" t="s">
        <v>741</v>
      </c>
      <c r="B1" s="296" t="s">
        <v>742</v>
      </c>
      <c r="C1" s="295" t="s">
        <v>743</v>
      </c>
      <c r="D1" s="295" t="s">
        <v>744</v>
      </c>
      <c r="E1" s="295" t="s">
        <v>745</v>
      </c>
      <c r="F1" s="295" t="s">
        <v>746</v>
      </c>
      <c r="G1" s="297" t="s">
        <v>747</v>
      </c>
      <c r="H1" s="297" t="s">
        <v>748</v>
      </c>
      <c r="I1" s="297" t="s">
        <v>749</v>
      </c>
      <c r="J1" s="297" t="s">
        <v>750</v>
      </c>
      <c r="K1" s="297" t="s">
        <v>837</v>
      </c>
      <c r="L1" s="297" t="s">
        <v>801</v>
      </c>
      <c r="M1" s="297" t="s">
        <v>802</v>
      </c>
      <c r="N1" s="297" t="s">
        <v>803</v>
      </c>
      <c r="O1" s="297" t="s">
        <v>804</v>
      </c>
      <c r="P1" s="297" t="s">
        <v>816</v>
      </c>
      <c r="Q1" s="295">
        <v>2015</v>
      </c>
      <c r="R1" s="295">
        <v>2016</v>
      </c>
      <c r="S1" s="295">
        <v>2017</v>
      </c>
      <c r="T1" s="295">
        <v>2018</v>
      </c>
      <c r="U1" s="296" t="s">
        <v>817</v>
      </c>
      <c r="Z1" s="344" t="b">
        <v>1</v>
      </c>
    </row>
    <row r="2" spans="1:26" s="300" customFormat="1" ht="41.25" customHeight="1" x14ac:dyDescent="0.2">
      <c r="A2" s="1538" t="s">
        <v>751</v>
      </c>
      <c r="B2" s="1538" t="s">
        <v>752</v>
      </c>
      <c r="C2" s="1538" t="s">
        <v>753</v>
      </c>
      <c r="D2" s="1546" t="s">
        <v>754</v>
      </c>
      <c r="E2" s="298" t="s">
        <v>755</v>
      </c>
      <c r="F2" s="298" t="s">
        <v>807</v>
      </c>
      <c r="G2" s="299">
        <v>0</v>
      </c>
      <c r="H2" s="299">
        <v>0</v>
      </c>
      <c r="I2" s="299">
        <v>1</v>
      </c>
      <c r="J2" s="321">
        <v>0</v>
      </c>
      <c r="K2" s="321">
        <f>G2+H2+I2+J2</f>
        <v>1</v>
      </c>
      <c r="L2" s="299">
        <v>0</v>
      </c>
      <c r="M2" s="299">
        <v>0</v>
      </c>
      <c r="N2" s="299">
        <v>0</v>
      </c>
      <c r="O2" s="299">
        <v>0</v>
      </c>
      <c r="P2" s="329">
        <f>L2+M2+N2+O2</f>
        <v>0</v>
      </c>
      <c r="Q2" s="299">
        <v>0</v>
      </c>
      <c r="R2" s="299">
        <v>0</v>
      </c>
      <c r="S2" s="299">
        <v>1</v>
      </c>
      <c r="T2" s="299">
        <f>P2</f>
        <v>0</v>
      </c>
      <c r="U2" s="329">
        <f>Q2+R2+S2+T2</f>
        <v>1</v>
      </c>
      <c r="V2" s="343" t="b">
        <f>IFERROR(U2&gt;=K2,0)</f>
        <v>1</v>
      </c>
    </row>
    <row r="3" spans="1:26" s="300" customFormat="1" ht="63.75" customHeight="1" x14ac:dyDescent="0.2">
      <c r="A3" s="1539"/>
      <c r="B3" s="1539"/>
      <c r="C3" s="1539"/>
      <c r="D3" s="1547"/>
      <c r="E3" s="298" t="s">
        <v>756</v>
      </c>
      <c r="F3" s="298" t="s">
        <v>808</v>
      </c>
      <c r="G3" s="299">
        <v>1</v>
      </c>
      <c r="H3" s="299">
        <v>2</v>
      </c>
      <c r="I3" s="299">
        <v>3</v>
      </c>
      <c r="J3" s="321">
        <v>3</v>
      </c>
      <c r="K3" s="321">
        <f t="shared" ref="K3:K18" si="0">G3+H3+I3+J3</f>
        <v>9</v>
      </c>
      <c r="L3" s="307">
        <f>(((GEeI!H5+GEeI!L5+GEeI!P5))+((GEeI!H7+GEeI!L7+GEeI!P7)))/2</f>
        <v>0.42500000000000004</v>
      </c>
      <c r="M3" s="307">
        <f>(((GEeI!T5+GEeI!X5+GEeI!AB5))+((GEeI!T7+GEeI!X7+GEeI!AB7)))/2</f>
        <v>0</v>
      </c>
      <c r="N3" s="307">
        <f>(((GEeI!AF5+GEeI!AJ5+GEeI!AN5))+((GEeI!AF7+GEeI!AJ7+GEeI!AN7)))/2</f>
        <v>0</v>
      </c>
      <c r="O3" s="307">
        <f>(((GEeI!AR5+GEeI!AV5+GEeI!AZ5))+((GEeI!AR7+GEeI!AV7+GEeI!AZ7)))/2</f>
        <v>0</v>
      </c>
      <c r="P3" s="840">
        <f>(L3+M3+N3+O3)*3</f>
        <v>1.2750000000000001</v>
      </c>
      <c r="Q3" s="299">
        <v>1</v>
      </c>
      <c r="R3" s="299">
        <v>3</v>
      </c>
      <c r="S3" s="299">
        <v>3</v>
      </c>
      <c r="T3" s="839">
        <f>P3</f>
        <v>1.2750000000000001</v>
      </c>
      <c r="U3" s="334">
        <f>Q3+R3+S3+T3</f>
        <v>8.2750000000000004</v>
      </c>
      <c r="V3" s="342" t="b">
        <f t="shared" ref="V3:V18" si="1">IFERROR(U3&gt;=K3,0)</f>
        <v>0</v>
      </c>
    </row>
    <row r="4" spans="1:26" s="300" customFormat="1" ht="47.25" customHeight="1" x14ac:dyDescent="0.2">
      <c r="A4" s="1539"/>
      <c r="B4" s="1539"/>
      <c r="C4" s="1539"/>
      <c r="D4" s="1548"/>
      <c r="E4" s="301" t="s">
        <v>757</v>
      </c>
      <c r="F4" s="298" t="s">
        <v>809</v>
      </c>
      <c r="G4" s="299">
        <v>0</v>
      </c>
      <c r="H4" s="299">
        <v>0</v>
      </c>
      <c r="I4" s="299">
        <v>1</v>
      </c>
      <c r="J4" s="321">
        <v>2</v>
      </c>
      <c r="K4" s="321">
        <f t="shared" si="0"/>
        <v>3</v>
      </c>
      <c r="L4" s="307">
        <f>GEeI!H10+GEeI!L10+GEeI!P10</f>
        <v>0.24000000000000002</v>
      </c>
      <c r="M4" s="327">
        <f>GEeI!T10+GEeI!X10+GEeI!AB10</f>
        <v>0</v>
      </c>
      <c r="N4" s="327">
        <f>GEeI!AF10+GEeI!AJ10+GEeI!AN10</f>
        <v>0</v>
      </c>
      <c r="O4" s="327">
        <f>GEeI!AR10+GEeI!AV10+GEeI!AZ10</f>
        <v>0</v>
      </c>
      <c r="P4" s="335">
        <f>(L4+M4+N4+O4)*2</f>
        <v>0.48000000000000004</v>
      </c>
      <c r="Q4" s="299">
        <v>0</v>
      </c>
      <c r="R4" s="299">
        <v>0</v>
      </c>
      <c r="S4" s="299">
        <v>1</v>
      </c>
      <c r="T4" s="299">
        <f t="shared" ref="T4:T18" si="2">P4</f>
        <v>0.48000000000000004</v>
      </c>
      <c r="U4" s="334">
        <f t="shared" ref="U4:U17" si="3">Q4+R4+S4+T4</f>
        <v>1.48</v>
      </c>
      <c r="V4" s="342" t="b">
        <f t="shared" si="1"/>
        <v>0</v>
      </c>
    </row>
    <row r="5" spans="1:26" s="300" customFormat="1" ht="41.25" customHeight="1" x14ac:dyDescent="0.2">
      <c r="A5" s="1539"/>
      <c r="B5" s="1539"/>
      <c r="C5" s="1539"/>
      <c r="D5" s="302" t="s">
        <v>758</v>
      </c>
      <c r="E5" s="298" t="s">
        <v>759</v>
      </c>
      <c r="F5" s="298" t="s">
        <v>810</v>
      </c>
      <c r="G5" s="299">
        <v>2</v>
      </c>
      <c r="H5" s="299">
        <v>2</v>
      </c>
      <c r="I5" s="299">
        <v>0</v>
      </c>
      <c r="J5" s="321">
        <v>2</v>
      </c>
      <c r="K5" s="321">
        <f t="shared" si="0"/>
        <v>6</v>
      </c>
      <c r="L5" s="307">
        <f>GEeI!H17+GEeI!L17+GEeI!P17</f>
        <v>0.24990000000000001</v>
      </c>
      <c r="M5" s="327">
        <f>GEeI!T17+GEeI!X17+GEeI!AB17</f>
        <v>0</v>
      </c>
      <c r="N5" s="327">
        <f>GEeI!AF17+GEeI!AJ17+GEeI!AN17</f>
        <v>0</v>
      </c>
      <c r="O5" s="327">
        <f>GEeI!AR17+GEeI!AV17+GEeI!AZ17</f>
        <v>0</v>
      </c>
      <c r="P5" s="334">
        <f>(L5+M5+N5+O5)*2</f>
        <v>0.49980000000000002</v>
      </c>
      <c r="Q5" s="299">
        <v>2</v>
      </c>
      <c r="R5" s="299">
        <v>3</v>
      </c>
      <c r="S5" s="299">
        <v>0</v>
      </c>
      <c r="T5" s="299">
        <f t="shared" si="2"/>
        <v>0.49980000000000002</v>
      </c>
      <c r="U5" s="334">
        <f t="shared" si="3"/>
        <v>5.4998000000000005</v>
      </c>
      <c r="V5" s="342" t="b">
        <f t="shared" si="1"/>
        <v>0</v>
      </c>
    </row>
    <row r="6" spans="1:26" s="300" customFormat="1" ht="36.75" customHeight="1" x14ac:dyDescent="0.2">
      <c r="A6" s="1539"/>
      <c r="B6" s="1539"/>
      <c r="C6" s="1539"/>
      <c r="D6" s="1549" t="s">
        <v>760</v>
      </c>
      <c r="E6" s="303" t="s">
        <v>761</v>
      </c>
      <c r="F6" s="303" t="s">
        <v>762</v>
      </c>
      <c r="G6" s="304">
        <v>12</v>
      </c>
      <c r="H6" s="304">
        <v>30</v>
      </c>
      <c r="I6" s="304">
        <v>37</v>
      </c>
      <c r="J6" s="321">
        <v>21</v>
      </c>
      <c r="K6" s="321">
        <f t="shared" si="0"/>
        <v>100</v>
      </c>
      <c r="L6" s="304">
        <f>(GEyP!H6+GEyP!L6+GEyP!P6)+(GDS!H5+GDS!L5+GDS!P5)+(GDS!H7+GDS!L7+GDS!P7)+(GAESPO!H6+GAESPO!L6+GAESPO!P6)+(GCyP!H5+GCyP!L5+GCyP!P5)+(GEeI!H14+GEeI!L14+GEeI!P14)</f>
        <v>7</v>
      </c>
      <c r="M6" s="304">
        <f>(GEyP!T6+GEyP!X6+GEyP!AB6)+(GDS!T5+GDS!X5+GDS!AB5)+(GDS!T7+GDS!X7+GDS!AB7)+(GAESPO!T6+GAESPO!X6+GAESPO!AB6)+(GCyP!T5+GCyP!X5+GCyP!AB5)+(GEeI!T14+GEeI!X14+GEeI!AB14)</f>
        <v>0</v>
      </c>
      <c r="N6" s="304">
        <f>(GEyP!AF6+GEyP!AJ6+GEyP!AN6)+(GDS!AF5+GDS!AJ5+GDS!AN5)+(GDS!AF7+GDS!AJ7+GDS!AN7)+(GAESPO!AF6+GAESPO!AJ6+GAESPO!AN6)+(GCyP!AF5+GCyP!AJ5+GCyP!AN5)+(GEeI!AF14+GEeI!AJ14+GEeI!AN14)</f>
        <v>0</v>
      </c>
      <c r="O6" s="299">
        <f>(GEyP!AR6+GEyP!AV6+GEyP!AZ6)+(GDS!AR5+GDS!AV5+GDS!AZ5)+(GDS!AR7+GDS!AV7+GDS!AZ7)+(GAESPO!AR6+GAESPO!AV6+GAESPO!AZ6)+(GCyP!AR5+GCyP!AV5+GCyP!AZ5)+(GEeI!AR14+GEeI!AV14+GEeI!AZ14)</f>
        <v>0</v>
      </c>
      <c r="P6" s="329">
        <f>L6+M6+N6+O6</f>
        <v>7</v>
      </c>
      <c r="Q6" s="299">
        <v>12</v>
      </c>
      <c r="R6" s="299">
        <v>30</v>
      </c>
      <c r="S6" s="299">
        <v>37</v>
      </c>
      <c r="T6" s="299">
        <f>P6</f>
        <v>7</v>
      </c>
      <c r="U6" s="329">
        <f t="shared" si="3"/>
        <v>86</v>
      </c>
      <c r="V6" s="342" t="b">
        <f t="shared" si="1"/>
        <v>0</v>
      </c>
    </row>
    <row r="7" spans="1:26" s="300" customFormat="1" ht="36" customHeight="1" x14ac:dyDescent="0.2">
      <c r="A7" s="1539"/>
      <c r="B7" s="1540"/>
      <c r="C7" s="1540"/>
      <c r="D7" s="1550"/>
      <c r="E7" s="298" t="s">
        <v>763</v>
      </c>
      <c r="F7" s="305" t="s">
        <v>811</v>
      </c>
      <c r="G7" s="299">
        <v>6</v>
      </c>
      <c r="H7" s="299">
        <v>1</v>
      </c>
      <c r="I7" s="299">
        <v>1</v>
      </c>
      <c r="J7" s="321">
        <v>1</v>
      </c>
      <c r="K7" s="321">
        <f t="shared" si="0"/>
        <v>9</v>
      </c>
      <c r="L7" s="299">
        <f>(GDS!H7+GDS!L7+GDS!P7)</f>
        <v>0</v>
      </c>
      <c r="M7" s="299">
        <f>(GDS!T7+GDS!X7+GDS!AB7)</f>
        <v>0</v>
      </c>
      <c r="N7" s="299">
        <f>GDS!AF7+GDS!AJ7+GDS!AN7</f>
        <v>0</v>
      </c>
      <c r="O7" s="299">
        <f>GDS!AR7+GDS!AV7+GDS!AZ7</f>
        <v>0</v>
      </c>
      <c r="P7" s="329">
        <f t="shared" ref="P7:P18" si="4">L7+M7+N7+O7</f>
        <v>0</v>
      </c>
      <c r="Q7" s="299">
        <v>6</v>
      </c>
      <c r="R7" s="299">
        <v>1</v>
      </c>
      <c r="S7" s="299">
        <v>1</v>
      </c>
      <c r="T7" s="299">
        <f t="shared" si="2"/>
        <v>0</v>
      </c>
      <c r="U7" s="329">
        <f t="shared" si="3"/>
        <v>8</v>
      </c>
      <c r="V7" s="342" t="b">
        <f t="shared" si="1"/>
        <v>0</v>
      </c>
    </row>
    <row r="8" spans="1:26" s="300" customFormat="1" ht="43.5" customHeight="1" x14ac:dyDescent="0.2">
      <c r="A8" s="1539"/>
      <c r="B8" s="1538" t="s">
        <v>764</v>
      </c>
      <c r="C8" s="1538" t="s">
        <v>765</v>
      </c>
      <c r="D8" s="306" t="s">
        <v>766</v>
      </c>
      <c r="E8" s="298" t="s">
        <v>767</v>
      </c>
      <c r="F8" s="301" t="s">
        <v>812</v>
      </c>
      <c r="G8" s="307">
        <v>0.1</v>
      </c>
      <c r="H8" s="307">
        <v>0.4</v>
      </c>
      <c r="I8" s="307">
        <v>0.2</v>
      </c>
      <c r="J8" s="322">
        <v>0.2</v>
      </c>
      <c r="K8" s="86">
        <f t="shared" si="0"/>
        <v>0.89999999999999991</v>
      </c>
      <c r="L8" s="307">
        <f>GCyP!H10+GCyP!L10+GCyP!P10</f>
        <v>0.122</v>
      </c>
      <c r="M8" s="307">
        <f>GCyP!T10+GCyP!X10+GCyP!AB10</f>
        <v>0</v>
      </c>
      <c r="N8" s="307">
        <f>GCyP!AF10+GCyP!AJ10+GCyP!AN10</f>
        <v>0</v>
      </c>
      <c r="O8" s="307">
        <f>GCyP!AR10+GCyP!AV10+GCyP!AZ10</f>
        <v>0</v>
      </c>
      <c r="P8" s="329">
        <f t="shared" si="4"/>
        <v>0.122</v>
      </c>
      <c r="Q8" s="307">
        <v>0.1</v>
      </c>
      <c r="R8" s="307">
        <v>0.54400000000000004</v>
      </c>
      <c r="S8" s="307">
        <v>0.26200000000000001</v>
      </c>
      <c r="T8" s="327">
        <f t="shared" si="2"/>
        <v>0.122</v>
      </c>
      <c r="U8" s="331">
        <f t="shared" si="3"/>
        <v>1.028</v>
      </c>
      <c r="V8" s="342" t="b">
        <f t="shared" si="1"/>
        <v>1</v>
      </c>
    </row>
    <row r="9" spans="1:26" s="300" customFormat="1" ht="42" customHeight="1" x14ac:dyDescent="0.2">
      <c r="A9" s="1539"/>
      <c r="B9" s="1539"/>
      <c r="C9" s="1539"/>
      <c r="D9" s="302" t="s">
        <v>768</v>
      </c>
      <c r="E9" s="298" t="s">
        <v>769</v>
      </c>
      <c r="F9" s="301" t="s">
        <v>770</v>
      </c>
      <c r="G9" s="299">
        <v>1</v>
      </c>
      <c r="H9" s="299">
        <v>1</v>
      </c>
      <c r="I9" s="299">
        <v>1</v>
      </c>
      <c r="J9" s="321">
        <v>1</v>
      </c>
      <c r="K9" s="321">
        <f t="shared" si="0"/>
        <v>4</v>
      </c>
      <c r="L9" s="338">
        <f>GCyP!BG27</f>
        <v>0.23091916548039979</v>
      </c>
      <c r="M9" s="338">
        <f>GCyP!BG28</f>
        <v>0</v>
      </c>
      <c r="N9" s="339">
        <f>GCyP!BG29</f>
        <v>0</v>
      </c>
      <c r="O9" s="339">
        <f>GCyP!BG30</f>
        <v>0</v>
      </c>
      <c r="P9" s="333">
        <f>L9+M9+N9+O9</f>
        <v>0.23091916548039979</v>
      </c>
      <c r="Q9" s="299">
        <v>1</v>
      </c>
      <c r="R9" s="299">
        <v>1</v>
      </c>
      <c r="S9" s="299">
        <v>1</v>
      </c>
      <c r="T9" s="299">
        <f t="shared" si="2"/>
        <v>0.23091916548039979</v>
      </c>
      <c r="U9" s="333">
        <f t="shared" si="3"/>
        <v>3.2309191654803997</v>
      </c>
      <c r="V9" s="342" t="b">
        <f t="shared" si="1"/>
        <v>0</v>
      </c>
    </row>
    <row r="10" spans="1:26" s="300" customFormat="1" ht="51" x14ac:dyDescent="0.2">
      <c r="A10" s="1540"/>
      <c r="B10" s="1540"/>
      <c r="C10" s="1540"/>
      <c r="D10" s="302" t="s">
        <v>771</v>
      </c>
      <c r="E10" s="298" t="s">
        <v>772</v>
      </c>
      <c r="F10" s="301" t="s">
        <v>773</v>
      </c>
      <c r="G10" s="299">
        <v>0</v>
      </c>
      <c r="H10" s="299">
        <v>1</v>
      </c>
      <c r="I10" s="299">
        <v>0</v>
      </c>
      <c r="J10" s="321">
        <v>0</v>
      </c>
      <c r="K10" s="321">
        <f t="shared" si="0"/>
        <v>1</v>
      </c>
      <c r="L10" s="299">
        <v>0</v>
      </c>
      <c r="M10" s="299">
        <v>0</v>
      </c>
      <c r="N10" s="299">
        <v>0</v>
      </c>
      <c r="O10" s="299">
        <v>0</v>
      </c>
      <c r="P10" s="329">
        <f t="shared" si="4"/>
        <v>0</v>
      </c>
      <c r="Q10" s="299">
        <v>0</v>
      </c>
      <c r="R10" s="299">
        <v>1</v>
      </c>
      <c r="S10" s="299">
        <v>0</v>
      </c>
      <c r="T10" s="299">
        <f t="shared" si="2"/>
        <v>0</v>
      </c>
      <c r="U10" s="329">
        <f t="shared" si="3"/>
        <v>1</v>
      </c>
      <c r="V10" s="342" t="b">
        <f t="shared" si="1"/>
        <v>1</v>
      </c>
    </row>
    <row r="11" spans="1:26" s="300" customFormat="1" ht="65.25" customHeight="1" x14ac:dyDescent="0.2">
      <c r="A11" s="1541" t="s">
        <v>774</v>
      </c>
      <c r="B11" s="1541" t="s">
        <v>775</v>
      </c>
      <c r="C11" s="1541" t="s">
        <v>776</v>
      </c>
      <c r="D11" s="308" t="s">
        <v>777</v>
      </c>
      <c r="E11" s="309" t="s">
        <v>778</v>
      </c>
      <c r="F11" s="309" t="s">
        <v>779</v>
      </c>
      <c r="G11" s="310">
        <v>0</v>
      </c>
      <c r="H11" s="310">
        <v>1</v>
      </c>
      <c r="I11" s="310">
        <v>0</v>
      </c>
      <c r="J11" s="323">
        <v>0</v>
      </c>
      <c r="K11" s="321">
        <f t="shared" si="0"/>
        <v>1</v>
      </c>
      <c r="L11" s="310">
        <v>0</v>
      </c>
      <c r="M11" s="310">
        <v>0</v>
      </c>
      <c r="N11" s="310">
        <v>0</v>
      </c>
      <c r="O11" s="310">
        <v>0</v>
      </c>
      <c r="P11" s="329">
        <f t="shared" si="4"/>
        <v>0</v>
      </c>
      <c r="Q11" s="310">
        <v>0</v>
      </c>
      <c r="R11" s="310">
        <v>1</v>
      </c>
      <c r="S11" s="310">
        <v>0</v>
      </c>
      <c r="T11" s="312">
        <f t="shared" si="2"/>
        <v>0</v>
      </c>
      <c r="U11" s="329">
        <f t="shared" si="3"/>
        <v>1</v>
      </c>
      <c r="V11" s="342" t="b">
        <f t="shared" si="1"/>
        <v>1</v>
      </c>
    </row>
    <row r="12" spans="1:26" s="300" customFormat="1" ht="65.25" customHeight="1" x14ac:dyDescent="0.2">
      <c r="A12" s="1542"/>
      <c r="B12" s="1542"/>
      <c r="C12" s="1542"/>
      <c r="D12" s="1544" t="s">
        <v>780</v>
      </c>
      <c r="E12" s="309" t="s">
        <v>781</v>
      </c>
      <c r="F12" s="311" t="s">
        <v>813</v>
      </c>
      <c r="G12" s="312">
        <v>5382</v>
      </c>
      <c r="H12" s="312">
        <v>4625</v>
      </c>
      <c r="I12" s="312">
        <v>10282</v>
      </c>
      <c r="J12" s="324">
        <v>7917</v>
      </c>
      <c r="K12" s="321">
        <f t="shared" si="0"/>
        <v>28206</v>
      </c>
      <c r="L12" s="312">
        <f>(GEyP!H11+GEyP!L11+GEyP!P11)+(GEyP!H12+GEyP!L12+GEyP!P12)+(GAESPO!H9+GAESPO!L9+GAESPO!P9)+(GDS!H10+GDS!L10+GDS!P10)</f>
        <v>0</v>
      </c>
      <c r="M12" s="312">
        <f>(GEyP!T11+GEyP!X11+GEyP!AB11)+(GEyP!T12+GEyP!X12+GEyP!AB12)+(GAESPO!T9+GAESPO!X9+GAESPO!AB9)+(GDS!T10+GDS!X10+GDS!AB10)</f>
        <v>0</v>
      </c>
      <c r="N12" s="312">
        <f>(GEyP!AF11+GEyP!AJ11+GEyP!AN11)+(GEyP!AF12+GEyP!AJ12+GEyP!AN12)+(GAESPO!AF9+GAESPO!AJ9+GAESPO!AN9)+(GDS!AF10+GDS!AJ10+GDS!AN10)</f>
        <v>0</v>
      </c>
      <c r="O12" s="312">
        <f>(GEyP!AR11+GEyP!AV11+GEyP!AZ11)+(GEyP!AR12+GEyP!AV12+GEyP!AZ12)+(GAESPO!AR9+GAESPO!AV9+GAESPO!AZ9)+(GDS!AR10+GDS!AV10+GDS!AZ10)</f>
        <v>0</v>
      </c>
      <c r="P12" s="329">
        <f t="shared" si="4"/>
        <v>0</v>
      </c>
      <c r="Q12" s="312">
        <v>5382</v>
      </c>
      <c r="R12" s="312">
        <v>4625</v>
      </c>
      <c r="S12" s="312">
        <v>10286</v>
      </c>
      <c r="T12" s="312">
        <f t="shared" si="2"/>
        <v>0</v>
      </c>
      <c r="U12" s="329">
        <f t="shared" si="3"/>
        <v>20293</v>
      </c>
      <c r="V12" s="342" t="b">
        <f t="shared" si="1"/>
        <v>0</v>
      </c>
    </row>
    <row r="13" spans="1:26" s="300" customFormat="1" ht="68.25" customHeight="1" x14ac:dyDescent="0.2">
      <c r="A13" s="1542"/>
      <c r="B13" s="1542"/>
      <c r="C13" s="1543"/>
      <c r="D13" s="1545"/>
      <c r="E13" s="309" t="s">
        <v>782</v>
      </c>
      <c r="F13" s="309" t="s">
        <v>783</v>
      </c>
      <c r="G13" s="312">
        <v>800</v>
      </c>
      <c r="H13" s="312">
        <v>850</v>
      </c>
      <c r="I13" s="312">
        <v>850</v>
      </c>
      <c r="J13" s="324">
        <v>850</v>
      </c>
      <c r="K13" s="321">
        <f t="shared" si="0"/>
        <v>3350</v>
      </c>
      <c r="L13" s="340">
        <f>GPyE!BH34</f>
        <v>0</v>
      </c>
      <c r="M13" s="341">
        <f>GPyE!BH35</f>
        <v>0</v>
      </c>
      <c r="N13" s="341">
        <f>GPyE!BH36</f>
        <v>0</v>
      </c>
      <c r="O13" s="341">
        <f>GPyE!BH37</f>
        <v>0</v>
      </c>
      <c r="P13" s="329">
        <f t="shared" si="4"/>
        <v>0</v>
      </c>
      <c r="Q13" s="312">
        <v>940</v>
      </c>
      <c r="R13" s="312">
        <v>730</v>
      </c>
      <c r="S13" s="312">
        <v>877</v>
      </c>
      <c r="T13" s="312">
        <f t="shared" si="2"/>
        <v>0</v>
      </c>
      <c r="U13" s="329">
        <f t="shared" si="3"/>
        <v>2547</v>
      </c>
      <c r="V13" s="342" t="b">
        <f t="shared" si="1"/>
        <v>0</v>
      </c>
    </row>
    <row r="14" spans="1:26" s="300" customFormat="1" ht="59.25" customHeight="1" x14ac:dyDescent="0.2">
      <c r="A14" s="1542"/>
      <c r="B14" s="1542"/>
      <c r="C14" s="1541" t="s">
        <v>784</v>
      </c>
      <c r="D14" s="308" t="s">
        <v>785</v>
      </c>
      <c r="E14" s="309" t="s">
        <v>786</v>
      </c>
      <c r="F14" s="313" t="s">
        <v>814</v>
      </c>
      <c r="G14" s="312">
        <v>0</v>
      </c>
      <c r="H14" s="312">
        <v>2</v>
      </c>
      <c r="I14" s="312">
        <v>5</v>
      </c>
      <c r="J14" s="324">
        <v>6</v>
      </c>
      <c r="K14" s="321">
        <f t="shared" si="0"/>
        <v>13</v>
      </c>
      <c r="L14" s="312">
        <f>(GEyP!H14+GEyP!L14+GEyP!P14)+(GAESPO!H14+GAESPO!L14+GAESPO!P14)+(GDS!BG23)</f>
        <v>0</v>
      </c>
      <c r="M14" s="312">
        <f>(GEyP!T14+GEyP!X14+GEyP!AB14)+(GAESPO!T14+GAESPO!X14+GAESPO!AB14)+(GDS!BG24)</f>
        <v>0</v>
      </c>
      <c r="N14" s="312">
        <f>(GEyP!AF14+GEyP!AJ14+GEyP!AN14)+(GAESPO!AF14+GAESPO!AJ14+GAESPO!AN14)+(GDS!BG25)</f>
        <v>0</v>
      </c>
      <c r="O14" s="312">
        <f>(GEyP!AR14+GEyP!AV14+GEyP!AZ14)+(GAESPO!AR14+GAESPO!AV14+GAESPO!AZ14)+(GDS!BG26)</f>
        <v>0</v>
      </c>
      <c r="P14" s="329">
        <f t="shared" si="4"/>
        <v>0</v>
      </c>
      <c r="Q14" s="312">
        <v>0</v>
      </c>
      <c r="R14" s="312">
        <v>4</v>
      </c>
      <c r="S14" s="312">
        <v>5</v>
      </c>
      <c r="T14" s="312">
        <f t="shared" si="2"/>
        <v>0</v>
      </c>
      <c r="U14" s="329">
        <f t="shared" si="3"/>
        <v>9</v>
      </c>
      <c r="V14" s="342" t="b">
        <f t="shared" si="1"/>
        <v>0</v>
      </c>
    </row>
    <row r="15" spans="1:26" s="300" customFormat="1" ht="76.5" x14ac:dyDescent="0.2">
      <c r="A15" s="1543"/>
      <c r="B15" s="1543"/>
      <c r="C15" s="1543"/>
      <c r="D15" s="308" t="s">
        <v>787</v>
      </c>
      <c r="E15" s="309" t="s">
        <v>788</v>
      </c>
      <c r="F15" s="313" t="s">
        <v>815</v>
      </c>
      <c r="G15" s="312">
        <v>27</v>
      </c>
      <c r="H15" s="312">
        <v>18</v>
      </c>
      <c r="I15" s="312">
        <v>15</v>
      </c>
      <c r="J15" s="324">
        <v>4</v>
      </c>
      <c r="K15" s="321">
        <f t="shared" si="0"/>
        <v>64</v>
      </c>
      <c r="L15" s="312">
        <f>(GEyP!H15+GEyP!L15+GEyP!P15)+(GAESPO!H15+GAESPO!L15+GAESPO!P15)</f>
        <v>2</v>
      </c>
      <c r="M15" s="312">
        <f>(GEyP!T15+GEyP!X15+GEyP!AB15)+(GAESPO!T15+GAESPO!X15+GAESPO!AB15)</f>
        <v>0</v>
      </c>
      <c r="N15" s="312">
        <f>(GEyP!AF15+GEyP!AJ15+GEyP!AN15)+(GAESPO!AF15+GAESPO!AJ15+GAESPO!AN15)</f>
        <v>0</v>
      </c>
      <c r="O15" s="312">
        <f>(GEyP!AR15+GEyP!AV15+GEyP!AZ15)+(GAESPO!AR15+GAESPO!AV15+GAESPO!AZ15)</f>
        <v>0</v>
      </c>
      <c r="P15" s="329">
        <f t="shared" si="4"/>
        <v>2</v>
      </c>
      <c r="Q15" s="312">
        <v>27</v>
      </c>
      <c r="R15" s="312">
        <v>18</v>
      </c>
      <c r="S15" s="312">
        <v>15</v>
      </c>
      <c r="T15" s="312">
        <f t="shared" si="2"/>
        <v>2</v>
      </c>
      <c r="U15" s="329">
        <f t="shared" si="3"/>
        <v>62</v>
      </c>
      <c r="V15" s="342" t="b">
        <f t="shared" si="1"/>
        <v>0</v>
      </c>
    </row>
    <row r="16" spans="1:26" s="300" customFormat="1" ht="38.25" customHeight="1" x14ac:dyDescent="0.2">
      <c r="A16" s="1531" t="s">
        <v>789</v>
      </c>
      <c r="B16" s="1531"/>
      <c r="C16" s="1534" t="s">
        <v>790</v>
      </c>
      <c r="D16" s="314" t="s">
        <v>791</v>
      </c>
      <c r="E16" s="315" t="s">
        <v>792</v>
      </c>
      <c r="F16" s="316" t="s">
        <v>793</v>
      </c>
      <c r="G16" s="317">
        <v>1</v>
      </c>
      <c r="H16" s="317">
        <v>1</v>
      </c>
      <c r="I16" s="317">
        <v>1</v>
      </c>
      <c r="J16" s="325">
        <v>1</v>
      </c>
      <c r="K16" s="86">
        <f>(G16+H16+I16+J16)/4</f>
        <v>1</v>
      </c>
      <c r="L16" s="317">
        <f>(GPyE!I9+GPyE!M9+GPyE!Q9)/GPyE!BF9</f>
        <v>0.25</v>
      </c>
      <c r="M16" s="317">
        <f>(GPyE!U9+GPyE!Y9+GPyE!AC9)/GPyE!BF9</f>
        <v>0</v>
      </c>
      <c r="N16" s="317">
        <f>(GPyE!AG9+GPyE!AK9+GPyE!AO9)/GPyE!BF9</f>
        <v>0</v>
      </c>
      <c r="O16" s="317">
        <f>(GPyE!AS9+GPyE!AW9+GPyE!BA9)/GPyE!BF9</f>
        <v>0</v>
      </c>
      <c r="P16" s="331">
        <f t="shared" si="4"/>
        <v>0.25</v>
      </c>
      <c r="Q16" s="317">
        <v>1</v>
      </c>
      <c r="R16" s="317">
        <v>1</v>
      </c>
      <c r="S16" s="317">
        <v>1</v>
      </c>
      <c r="T16" s="327">
        <f t="shared" si="2"/>
        <v>0.25</v>
      </c>
      <c r="U16" s="331">
        <f>AVERAGE(Q16:T16)</f>
        <v>0.8125</v>
      </c>
      <c r="V16" s="342" t="b">
        <f t="shared" si="1"/>
        <v>0</v>
      </c>
    </row>
    <row r="17" spans="1:22" s="300" customFormat="1" ht="25.5" x14ac:dyDescent="0.2">
      <c r="A17" s="1532"/>
      <c r="B17" s="1532"/>
      <c r="C17" s="1535"/>
      <c r="D17" s="314" t="s">
        <v>794</v>
      </c>
      <c r="E17" s="315" t="s">
        <v>795</v>
      </c>
      <c r="F17" s="315" t="s">
        <v>796</v>
      </c>
      <c r="G17" s="318">
        <v>0</v>
      </c>
      <c r="H17" s="318">
        <v>0</v>
      </c>
      <c r="I17" s="318">
        <v>1</v>
      </c>
      <c r="J17" s="326">
        <v>0</v>
      </c>
      <c r="K17" s="321">
        <f t="shared" si="0"/>
        <v>1</v>
      </c>
      <c r="L17" s="318">
        <v>0</v>
      </c>
      <c r="M17" s="318">
        <v>0</v>
      </c>
      <c r="N17" s="318">
        <v>0</v>
      </c>
      <c r="O17" s="318">
        <v>0</v>
      </c>
      <c r="P17" s="329">
        <f t="shared" si="4"/>
        <v>0</v>
      </c>
      <c r="Q17" s="318">
        <v>0</v>
      </c>
      <c r="R17" s="318">
        <v>0</v>
      </c>
      <c r="S17" s="318">
        <v>1</v>
      </c>
      <c r="T17" s="299">
        <f t="shared" si="2"/>
        <v>0</v>
      </c>
      <c r="U17" s="329">
        <f t="shared" si="3"/>
        <v>1</v>
      </c>
      <c r="V17" s="342" t="b">
        <f t="shared" si="1"/>
        <v>1</v>
      </c>
    </row>
    <row r="18" spans="1:22" s="300" customFormat="1" ht="63.75" x14ac:dyDescent="0.2">
      <c r="A18" s="1533"/>
      <c r="B18" s="1533"/>
      <c r="C18" s="314" t="s">
        <v>797</v>
      </c>
      <c r="D18" s="314" t="s">
        <v>798</v>
      </c>
      <c r="E18" s="315" t="s">
        <v>799</v>
      </c>
      <c r="F18" s="315" t="s">
        <v>800</v>
      </c>
      <c r="G18" s="317">
        <v>0.25</v>
      </c>
      <c r="H18" s="317">
        <v>0.25</v>
      </c>
      <c r="I18" s="317">
        <v>0.25</v>
      </c>
      <c r="J18" s="325">
        <v>0.25</v>
      </c>
      <c r="K18" s="86">
        <f t="shared" si="0"/>
        <v>1</v>
      </c>
      <c r="L18" s="317">
        <f>OAJ!BG21</f>
        <v>0</v>
      </c>
      <c r="M18" s="317">
        <f>OAJ!BG22</f>
        <v>0</v>
      </c>
      <c r="N18" s="317">
        <f>OAJ!BG23</f>
        <v>0</v>
      </c>
      <c r="O18" s="317">
        <f>OAJ!BG24</f>
        <v>0</v>
      </c>
      <c r="P18" s="329">
        <f t="shared" si="4"/>
        <v>0</v>
      </c>
      <c r="Q18" s="317">
        <v>0.25</v>
      </c>
      <c r="R18" s="317">
        <v>0.25</v>
      </c>
      <c r="S18" s="317">
        <v>0.25</v>
      </c>
      <c r="T18" s="327">
        <f t="shared" si="2"/>
        <v>0</v>
      </c>
      <c r="U18" s="330">
        <f>Q18+R18+S18+T18</f>
        <v>0.75</v>
      </c>
      <c r="V18" s="342" t="b">
        <f t="shared" si="1"/>
        <v>0</v>
      </c>
    </row>
    <row r="19" spans="1:22" x14ac:dyDescent="0.2">
      <c r="A19" s="1536"/>
      <c r="B19" s="1536"/>
      <c r="C19" s="1536"/>
      <c r="D19" s="1536"/>
      <c r="E19" s="1536"/>
      <c r="F19" s="1536"/>
      <c r="G19" s="1536"/>
      <c r="H19" s="1536"/>
      <c r="I19" s="1536"/>
      <c r="J19" s="1536"/>
      <c r="K19" s="328"/>
    </row>
    <row r="20" spans="1:22" x14ac:dyDescent="0.2">
      <c r="A20" s="1537"/>
      <c r="B20" s="1537"/>
      <c r="C20" s="1537"/>
      <c r="D20" s="1537"/>
      <c r="E20" s="1537"/>
      <c r="F20" s="1537"/>
      <c r="G20" s="1537"/>
      <c r="H20" s="1537"/>
      <c r="I20" s="1537"/>
      <c r="J20" s="1537"/>
      <c r="K20" s="328"/>
    </row>
    <row r="21" spans="1:22" ht="17.25" customHeight="1" x14ac:dyDescent="0.2"/>
  </sheetData>
  <mergeCells count="16">
    <mergeCell ref="A16:A18"/>
    <mergeCell ref="B16:B18"/>
    <mergeCell ref="C16:C17"/>
    <mergeCell ref="A19:J20"/>
    <mergeCell ref="C8:C10"/>
    <mergeCell ref="A11:A15"/>
    <mergeCell ref="B11:B15"/>
    <mergeCell ref="C11:C13"/>
    <mergeCell ref="D12:D13"/>
    <mergeCell ref="C14:C15"/>
    <mergeCell ref="A2:A10"/>
    <mergeCell ref="B2:B7"/>
    <mergeCell ref="C2:C7"/>
    <mergeCell ref="D2:D4"/>
    <mergeCell ref="D6:D7"/>
    <mergeCell ref="B8:B10"/>
  </mergeCells>
  <printOptions horizontalCentered="1"/>
  <pageMargins left="0.51181102362204722" right="0.31496062992125984" top="0.74803149606299213" bottom="0.55118110236220474" header="0.31496062992125984" footer="0.31496062992125984"/>
  <pageSetup paperSize="123" scale="55"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7549897-2FF5-416D-B427-E1C399BCE1FB}">
            <xm:f>NOT(ISERROR(SEARCH($Z$1,V2)))</xm:f>
            <xm:f>$Z$1</xm:f>
            <x14:dxf>
              <font>
                <color rgb="FF006100"/>
              </font>
              <fill>
                <patternFill>
                  <bgColor rgb="FFC6EFCE"/>
                </patternFill>
              </fill>
            </x14:dxf>
          </x14:cfRule>
          <xm:sqref>V2:V18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sheetPr>
  <dimension ref="A1:AN86"/>
  <sheetViews>
    <sheetView showGridLines="0" topLeftCell="D1" zoomScale="60" zoomScaleNormal="60" zoomScaleSheetLayoutView="70" zoomScalePageLayoutView="75" workbookViewId="0">
      <selection activeCell="AL11" sqref="AL11"/>
    </sheetView>
  </sheetViews>
  <sheetFormatPr baseColWidth="10" defaultColWidth="12.85546875" defaultRowHeight="15.75" x14ac:dyDescent="0.25"/>
  <cols>
    <col min="1" max="1" width="41.140625" style="357" customWidth="1"/>
    <col min="2" max="2" width="11.5703125" style="357" customWidth="1"/>
    <col min="3" max="3" width="36.42578125" style="513" customWidth="1"/>
    <col min="4" max="4" width="29" style="514" customWidth="1"/>
    <col min="5" max="5" width="15.5703125" style="357" hidden="1" customWidth="1"/>
    <col min="6" max="6" width="20.5703125" style="357" customWidth="1"/>
    <col min="7" max="7" width="17.42578125" style="357" customWidth="1"/>
    <col min="8" max="8" width="23" style="357" customWidth="1"/>
    <col min="9" max="14" width="14.85546875" style="357" customWidth="1"/>
    <col min="15" max="15" width="20.7109375" style="357" customWidth="1"/>
    <col min="16" max="16" width="14.85546875" style="357" customWidth="1"/>
    <col min="17" max="17" width="14.85546875" style="357" hidden="1" customWidth="1"/>
    <col min="18" max="18" width="14.85546875" style="357" customWidth="1"/>
    <col min="19" max="19" width="24.140625" style="357" hidden="1" customWidth="1"/>
    <col min="20" max="20" width="18" style="357" hidden="1" customWidth="1"/>
    <col min="21" max="21" width="15.140625" style="357" customWidth="1"/>
    <col min="22" max="22" width="17.5703125" style="357" hidden="1" customWidth="1"/>
    <col min="23" max="23" width="15.28515625" style="357" hidden="1" customWidth="1"/>
    <col min="24" max="24" width="14.42578125" style="357" customWidth="1"/>
    <col min="25" max="25" width="22.28515625" style="357" hidden="1" customWidth="1"/>
    <col min="26" max="26" width="14.85546875" style="357" hidden="1" customWidth="1"/>
    <col min="27" max="27" width="18.140625" style="357" customWidth="1"/>
    <col min="28" max="28" width="26.5703125" style="357" hidden="1" customWidth="1"/>
    <col min="29" max="29" width="47.140625" style="357" hidden="1" customWidth="1"/>
    <col min="30" max="30" width="22.5703125" style="357" hidden="1" customWidth="1"/>
    <col min="31" max="31" width="21.28515625" style="357" hidden="1" customWidth="1"/>
    <col min="32" max="32" width="26" style="357" hidden="1" customWidth="1"/>
    <col min="33" max="33" width="35" style="357" hidden="1" customWidth="1"/>
    <col min="34" max="34" width="21.85546875" style="357" hidden="1" customWidth="1"/>
    <col min="35" max="35" width="26" style="345" hidden="1" customWidth="1"/>
    <col min="36" max="36" width="27.5703125" style="345" hidden="1" customWidth="1"/>
    <col min="37" max="37" width="10.140625" style="345" hidden="1" customWidth="1"/>
    <col min="38" max="38" width="12.85546875" style="345"/>
    <col min="39" max="39" width="0" style="345" hidden="1" customWidth="1"/>
    <col min="40" max="16384" width="12.85546875" style="345"/>
  </cols>
  <sheetData>
    <row r="1" spans="1:40" s="357" customFormat="1" ht="100.5" customHeight="1" thickBot="1" x14ac:dyDescent="0.25">
      <c r="A1" s="346" t="s">
        <v>838</v>
      </c>
      <c r="B1" s="347" t="s">
        <v>839</v>
      </c>
      <c r="C1" s="348" t="s">
        <v>840</v>
      </c>
      <c r="D1" s="349" t="s">
        <v>841</v>
      </c>
      <c r="E1" s="350" t="s">
        <v>842</v>
      </c>
      <c r="F1" s="350" t="s">
        <v>843</v>
      </c>
      <c r="G1" s="350" t="s">
        <v>844</v>
      </c>
      <c r="H1" s="351" t="s">
        <v>845</v>
      </c>
      <c r="I1" s="350" t="s">
        <v>846</v>
      </c>
      <c r="J1" s="350" t="s">
        <v>847</v>
      </c>
      <c r="K1" s="350" t="s">
        <v>848</v>
      </c>
      <c r="L1" s="350" t="s">
        <v>849</v>
      </c>
      <c r="M1" s="352" t="s">
        <v>850</v>
      </c>
      <c r="N1" s="352" t="s">
        <v>851</v>
      </c>
      <c r="O1" s="353" t="s">
        <v>852</v>
      </c>
      <c r="P1" s="571" t="s">
        <v>853</v>
      </c>
      <c r="Q1" s="595" t="s">
        <v>854</v>
      </c>
      <c r="R1" s="352" t="s">
        <v>855</v>
      </c>
      <c r="S1" s="596" t="s">
        <v>856</v>
      </c>
      <c r="T1" s="597" t="s">
        <v>857</v>
      </c>
      <c r="U1" s="598" t="s">
        <v>858</v>
      </c>
      <c r="V1" s="598" t="s">
        <v>859</v>
      </c>
      <c r="W1" s="599" t="s">
        <v>860</v>
      </c>
      <c r="X1" s="599" t="s">
        <v>861</v>
      </c>
      <c r="Y1" s="599" t="s">
        <v>862</v>
      </c>
      <c r="Z1" s="354" t="s">
        <v>863</v>
      </c>
      <c r="AA1" s="354" t="s">
        <v>864</v>
      </c>
      <c r="AB1" s="354" t="s">
        <v>865</v>
      </c>
      <c r="AC1" s="355" t="s">
        <v>866</v>
      </c>
      <c r="AD1" s="350" t="s">
        <v>867</v>
      </c>
      <c r="AE1" s="350" t="s">
        <v>868</v>
      </c>
      <c r="AF1" s="350" t="s">
        <v>869</v>
      </c>
      <c r="AG1" s="350" t="s">
        <v>870</v>
      </c>
      <c r="AH1" s="350" t="s">
        <v>871</v>
      </c>
      <c r="AI1" s="356" t="s">
        <v>872</v>
      </c>
      <c r="AJ1" s="600" t="s">
        <v>873</v>
      </c>
      <c r="AK1" s="356" t="s">
        <v>874</v>
      </c>
      <c r="AL1" s="601" t="s">
        <v>875</v>
      </c>
      <c r="AM1" s="602"/>
      <c r="AN1" s="603" t="s">
        <v>876</v>
      </c>
    </row>
    <row r="2" spans="1:40" s="357" customFormat="1" ht="137.25" customHeight="1" x14ac:dyDescent="0.2">
      <c r="A2" s="1551" t="s">
        <v>877</v>
      </c>
      <c r="B2" s="1553">
        <v>0.08</v>
      </c>
      <c r="C2" s="358" t="s">
        <v>878</v>
      </c>
      <c r="D2" s="359" t="s">
        <v>879</v>
      </c>
      <c r="E2" s="360" t="s">
        <v>880</v>
      </c>
      <c r="F2" s="517" t="s">
        <v>881</v>
      </c>
      <c r="G2" s="518">
        <v>1</v>
      </c>
      <c r="H2" s="518">
        <v>9</v>
      </c>
      <c r="I2" s="361">
        <v>1</v>
      </c>
      <c r="J2" s="362">
        <v>3</v>
      </c>
      <c r="K2" s="363">
        <v>6</v>
      </c>
      <c r="L2" s="604">
        <v>9</v>
      </c>
      <c r="M2" s="364">
        <f>'PLAN ESTRATEGICO'!Q3</f>
        <v>1</v>
      </c>
      <c r="N2" s="364">
        <f>'PLAN ESTRATEGICO'!R3</f>
        <v>3</v>
      </c>
      <c r="O2" s="364">
        <f>'PLAN ESTRATEGICO'!S3</f>
        <v>3</v>
      </c>
      <c r="P2" s="612">
        <f>Tabla1[[#This Row],[Avance 1 trimestre ]]+Tabla1[[#This Row],[Avance  trimestre 2]]+Tabla1[[#This Row],[Avance  trimestre 3]]+Tabla1[[#This Row],[Avance  trimestre 4]]</f>
        <v>0.42500000000000004</v>
      </c>
      <c r="Q2" s="587"/>
      <c r="R2" s="608">
        <f>'PLAN ESTRATEGICO'!L3</f>
        <v>0.42500000000000004</v>
      </c>
      <c r="S2" s="588"/>
      <c r="T2" s="589"/>
      <c r="U2" s="609">
        <f>'PLAN ESTRATEGICO'!M3</f>
        <v>0</v>
      </c>
      <c r="V2" s="589"/>
      <c r="W2" s="590">
        <v>1</v>
      </c>
      <c r="X2" s="610">
        <f>'PLAN ESTRATEGICO'!N3</f>
        <v>0</v>
      </c>
      <c r="Y2" s="591"/>
      <c r="Z2" s="592">
        <v>2</v>
      </c>
      <c r="AA2" s="611">
        <f>'PLAN ESTRATEGICO'!O3</f>
        <v>0</v>
      </c>
      <c r="AB2" s="365"/>
      <c r="AC2" s="366"/>
      <c r="AD2" s="367" t="s">
        <v>882</v>
      </c>
      <c r="AE2" s="368" t="s">
        <v>883</v>
      </c>
      <c r="AF2" s="369" t="s">
        <v>884</v>
      </c>
      <c r="AG2" s="369" t="s">
        <v>885</v>
      </c>
      <c r="AH2" s="369" t="s">
        <v>886</v>
      </c>
      <c r="AI2" s="370" t="s">
        <v>886</v>
      </c>
      <c r="AJ2" s="371"/>
      <c r="AK2" s="372"/>
      <c r="AL2" s="371">
        <f>Tabla1[[#This Row],[Alcanzado  2015]]+Tabla1[[#This Row],[Alcanzado  2016]]+Tabla1[[#This Row],[Alcanzado  2017]]+Tabla1[[#This Row],[Avance 2018]]</f>
        <v>7.4249999999999998</v>
      </c>
      <c r="AM2" s="371"/>
      <c r="AN2" s="593">
        <f>Tabla1[[#This Row],[META 2018]]-AL2</f>
        <v>1.5750000000000002</v>
      </c>
    </row>
    <row r="3" spans="1:40" s="357" customFormat="1" ht="69.75" hidden="1" customHeight="1" x14ac:dyDescent="0.2">
      <c r="A3" s="1552"/>
      <c r="B3" s="1554"/>
      <c r="C3" s="1555" t="s">
        <v>887</v>
      </c>
      <c r="D3" s="374" t="s">
        <v>888</v>
      </c>
      <c r="E3" s="375" t="s">
        <v>889</v>
      </c>
      <c r="F3" s="376" t="s">
        <v>881</v>
      </c>
      <c r="G3" s="377">
        <v>9.3000000000000007</v>
      </c>
      <c r="H3" s="377">
        <v>7.9</v>
      </c>
      <c r="I3" s="378">
        <v>9.3000000000000007</v>
      </c>
      <c r="J3" s="379">
        <v>8.8000000000000007</v>
      </c>
      <c r="K3" s="380">
        <v>8.3000000000000007</v>
      </c>
      <c r="L3" s="381">
        <v>6</v>
      </c>
      <c r="M3" s="382"/>
      <c r="N3" s="383"/>
      <c r="O3" s="384"/>
      <c r="P3" s="379" t="e">
        <f>Tabla1[[#This Row],[Avance 1 trimestre ]]+Tabla1[[#This Row],[Avance  trimestre 2]]+Tabla1[[#This Row],[Avance  trimestre 3]]+Tabla1[[#This Row],[Avance  trimestre 4]]</f>
        <v>#REF!</v>
      </c>
      <c r="Q3" s="379"/>
      <c r="R3" s="379"/>
      <c r="S3" s="379"/>
      <c r="T3" s="379"/>
      <c r="U3" s="379">
        <f>'PLAN ESTRATEGICO'!M4</f>
        <v>0</v>
      </c>
      <c r="V3" s="379"/>
      <c r="W3" s="379"/>
      <c r="X3" s="379">
        <f>'PLAN ESTRATEGICO'!N4</f>
        <v>0</v>
      </c>
      <c r="Y3" s="377" t="e">
        <f>#REF!/#REF!</f>
        <v>#REF!</v>
      </c>
      <c r="Z3" s="377"/>
      <c r="AA3" s="377" t="e">
        <f>Tabla1[[#This Row],[Proyectado  trimestre 4]]/#REF!</f>
        <v>#REF!</v>
      </c>
      <c r="AB3" s="385"/>
      <c r="AC3" s="377"/>
      <c r="AD3" s="386" t="s">
        <v>882</v>
      </c>
      <c r="AE3" s="375" t="s">
        <v>883</v>
      </c>
      <c r="AF3" s="387" t="s">
        <v>890</v>
      </c>
      <c r="AG3" s="387" t="s">
        <v>891</v>
      </c>
      <c r="AH3" s="387" t="s">
        <v>892</v>
      </c>
      <c r="AI3" s="388" t="s">
        <v>893</v>
      </c>
      <c r="AJ3" s="373"/>
      <c r="AK3" s="389"/>
      <c r="AL3" s="373" t="e">
        <f>Tabla1[[#This Row],[Alcanzado  2015]]+Tabla1[[#This Row],[Alcanzado  2016]]+Tabla1[[#This Row],[Alcanzado  2017]]+Tabla1[[#This Row],[Avance 2018]]</f>
        <v>#REF!</v>
      </c>
      <c r="AM3" s="373"/>
      <c r="AN3" s="570" t="e">
        <f>Tabla1[[#This Row],[META 2018]]-AL3</f>
        <v>#REF!</v>
      </c>
    </row>
    <row r="4" spans="1:40" s="357" customFormat="1" ht="119.25" hidden="1" customHeight="1" thickBot="1" x14ac:dyDescent="0.25">
      <c r="A4" s="1552"/>
      <c r="B4" s="1554"/>
      <c r="C4" s="1555"/>
      <c r="D4" s="374" t="s">
        <v>894</v>
      </c>
      <c r="E4" s="375" t="s">
        <v>889</v>
      </c>
      <c r="F4" s="376" t="s">
        <v>881</v>
      </c>
      <c r="G4" s="375">
        <v>0</v>
      </c>
      <c r="H4" s="375">
        <v>4</v>
      </c>
      <c r="I4" s="572">
        <v>1</v>
      </c>
      <c r="J4" s="394">
        <v>1</v>
      </c>
      <c r="K4" s="476">
        <v>1</v>
      </c>
      <c r="L4" s="393">
        <v>7630</v>
      </c>
      <c r="M4" s="382"/>
      <c r="N4" s="383"/>
      <c r="O4" s="384"/>
      <c r="P4" s="426" t="e">
        <f>Tabla1[[#This Row],[Avance 1 trimestre ]]+Tabla1[[#This Row],[Avance  trimestre 2]]+Tabla1[[#This Row],[Avance  trimestre 3]]+Tabla1[[#This Row],[Avance  trimestre 4]]</f>
        <v>#REF!</v>
      </c>
      <c r="Q4" s="394"/>
      <c r="R4" s="394"/>
      <c r="S4" s="394"/>
      <c r="T4" s="394"/>
      <c r="U4" s="426">
        <f>'PLAN ESTRATEGICO'!M5</f>
        <v>0</v>
      </c>
      <c r="V4" s="394"/>
      <c r="W4" s="394"/>
      <c r="X4" s="426">
        <f>'PLAN ESTRATEGICO'!N5</f>
        <v>0</v>
      </c>
      <c r="Y4" s="474" t="e">
        <f>#REF!/#REF!</f>
        <v>#REF!</v>
      </c>
      <c r="Z4" s="375"/>
      <c r="AA4" s="474" t="e">
        <f>Tabla1[[#This Row],[Proyectado  trimestre 4]]/#REF!</f>
        <v>#REF!</v>
      </c>
      <c r="AB4" s="395"/>
      <c r="AC4" s="391"/>
      <c r="AD4" s="397" t="s">
        <v>882</v>
      </c>
      <c r="AE4" s="391" t="s">
        <v>883</v>
      </c>
      <c r="AF4" s="398" t="s">
        <v>890</v>
      </c>
      <c r="AG4" s="398" t="s">
        <v>891</v>
      </c>
      <c r="AH4" s="398" t="s">
        <v>892</v>
      </c>
      <c r="AI4" s="399" t="s">
        <v>893</v>
      </c>
      <c r="AJ4" s="400"/>
      <c r="AK4" s="401"/>
      <c r="AL4" s="373" t="e">
        <f>Tabla1[[#This Row],[Alcanzado  2015]]+Tabla1[[#This Row],[Alcanzado  2016]]+Tabla1[[#This Row],[Alcanzado  2017]]+Tabla1[[#This Row],[Avance 2018]]</f>
        <v>#REF!</v>
      </c>
      <c r="AM4" s="373"/>
      <c r="AN4" s="570" t="e">
        <f>Tabla1[[#This Row],[META 2018]]-AL4</f>
        <v>#REF!</v>
      </c>
    </row>
    <row r="5" spans="1:40" s="357" customFormat="1" ht="90" hidden="1" customHeight="1" x14ac:dyDescent="0.2">
      <c r="A5" s="1552" t="s">
        <v>895</v>
      </c>
      <c r="B5" s="1554">
        <v>0.38</v>
      </c>
      <c r="C5" s="407" t="s">
        <v>896</v>
      </c>
      <c r="D5" s="408" t="s">
        <v>897</v>
      </c>
      <c r="E5" s="375" t="s">
        <v>889</v>
      </c>
      <c r="F5" s="376" t="s">
        <v>881</v>
      </c>
      <c r="G5" s="409">
        <v>15.8</v>
      </c>
      <c r="H5" s="409">
        <v>13.9</v>
      </c>
      <c r="I5" s="410">
        <v>15.3</v>
      </c>
      <c r="J5" s="404">
        <v>14.9</v>
      </c>
      <c r="K5" s="411">
        <v>14.4</v>
      </c>
      <c r="L5" s="403">
        <v>230443</v>
      </c>
      <c r="M5" s="382"/>
      <c r="N5" s="383"/>
      <c r="O5" s="384"/>
      <c r="P5" s="404" t="e">
        <f>Tabla1[[#This Row],[Avance 1 trimestre ]]+Tabla1[[#This Row],[Avance  trimestre 2]]+Tabla1[[#This Row],[Avance  trimestre 3]]+Tabla1[[#This Row],[Avance  trimestre 4]]</f>
        <v>#REF!</v>
      </c>
      <c r="Q5" s="404"/>
      <c r="R5" s="404"/>
      <c r="S5" s="404"/>
      <c r="T5" s="404"/>
      <c r="U5" s="404">
        <f>'PLAN ESTRATEGICO'!M6</f>
        <v>0</v>
      </c>
      <c r="V5" s="404"/>
      <c r="W5" s="404"/>
      <c r="X5" s="404">
        <f>'PLAN ESTRATEGICO'!N6</f>
        <v>0</v>
      </c>
      <c r="Y5" s="409" t="e">
        <f>#REF!/#REF!</f>
        <v>#REF!</v>
      </c>
      <c r="Z5" s="409"/>
      <c r="AA5" s="409" t="e">
        <f>Tabla1[[#This Row],[Proyectado  trimestre 4]]/#REF!</f>
        <v>#REF!</v>
      </c>
      <c r="AB5" s="405"/>
      <c r="AC5" s="402"/>
      <c r="AD5" s="367" t="s">
        <v>898</v>
      </c>
      <c r="AE5" s="368" t="s">
        <v>883</v>
      </c>
      <c r="AF5" s="369" t="s">
        <v>890</v>
      </c>
      <c r="AG5" s="369" t="s">
        <v>899</v>
      </c>
      <c r="AH5" s="369" t="s">
        <v>892</v>
      </c>
      <c r="AI5" s="406" t="s">
        <v>900</v>
      </c>
      <c r="AJ5" s="371"/>
      <c r="AK5" s="372"/>
      <c r="AL5" s="373" t="e">
        <f>Tabla1[[#This Row],[Alcanzado  2015]]+Tabla1[[#This Row],[Alcanzado  2016]]+Tabla1[[#This Row],[Alcanzado  2017]]+Tabla1[[#This Row],[Avance 2018]]</f>
        <v>#REF!</v>
      </c>
      <c r="AM5" s="373"/>
      <c r="AN5" s="570" t="e">
        <f>Tabla1[[#This Row],[META 2018]]-AL5</f>
        <v>#REF!</v>
      </c>
    </row>
    <row r="6" spans="1:40" s="357" customFormat="1" ht="87" hidden="1" customHeight="1" x14ac:dyDescent="0.2">
      <c r="A6" s="1552"/>
      <c r="B6" s="1554"/>
      <c r="C6" s="407" t="s">
        <v>901</v>
      </c>
      <c r="D6" s="408" t="s">
        <v>902</v>
      </c>
      <c r="E6" s="375" t="s">
        <v>889</v>
      </c>
      <c r="F6" s="376" t="s">
        <v>881</v>
      </c>
      <c r="G6" s="409">
        <v>9.1</v>
      </c>
      <c r="H6" s="409">
        <v>8</v>
      </c>
      <c r="I6" s="410">
        <v>8.8000000000000007</v>
      </c>
      <c r="J6" s="404">
        <v>8.6</v>
      </c>
      <c r="K6" s="411">
        <v>8.3000000000000007</v>
      </c>
      <c r="L6" s="403">
        <v>216000</v>
      </c>
      <c r="M6" s="382"/>
      <c r="N6" s="383"/>
      <c r="O6" s="384"/>
      <c r="P6" s="404" t="e">
        <f>Tabla1[[#This Row],[Avance 1 trimestre ]]+Tabla1[[#This Row],[Avance  trimestre 2]]+Tabla1[[#This Row],[Avance  trimestre 3]]+Tabla1[[#This Row],[Avance  trimestre 4]]</f>
        <v>#REF!</v>
      </c>
      <c r="Q6" s="404"/>
      <c r="R6" s="404"/>
      <c r="S6" s="404"/>
      <c r="T6" s="404"/>
      <c r="U6" s="404">
        <f>'PLAN ESTRATEGICO'!M7</f>
        <v>0</v>
      </c>
      <c r="V6" s="404"/>
      <c r="W6" s="404"/>
      <c r="X6" s="404">
        <f>'PLAN ESTRATEGICO'!N7</f>
        <v>0</v>
      </c>
      <c r="Y6" s="409" t="e">
        <f>#REF!/#REF!</f>
        <v>#REF!</v>
      </c>
      <c r="Z6" s="409"/>
      <c r="AA6" s="409" t="e">
        <f>Tabla1[[#This Row],[Proyectado  trimestre 4]]/#REF!</f>
        <v>#REF!</v>
      </c>
      <c r="AB6" s="412"/>
      <c r="AC6" s="409"/>
      <c r="AD6" s="386" t="s">
        <v>898</v>
      </c>
      <c r="AE6" s="375" t="s">
        <v>883</v>
      </c>
      <c r="AF6" s="387" t="s">
        <v>890</v>
      </c>
      <c r="AG6" s="387" t="s">
        <v>899</v>
      </c>
      <c r="AH6" s="387" t="s">
        <v>892</v>
      </c>
      <c r="AI6" s="413" t="s">
        <v>900</v>
      </c>
      <c r="AJ6" s="373"/>
      <c r="AK6" s="389"/>
      <c r="AL6" s="373" t="e">
        <f>Tabla1[[#This Row],[Alcanzado  2015]]+Tabla1[[#This Row],[Alcanzado  2016]]+Tabla1[[#This Row],[Alcanzado  2017]]+Tabla1[[#This Row],[Avance 2018]]</f>
        <v>#REF!</v>
      </c>
      <c r="AM6" s="373"/>
      <c r="AN6" s="570" t="e">
        <f>Tabla1[[#This Row],[META 2018]]-AL6</f>
        <v>#REF!</v>
      </c>
    </row>
    <row r="7" spans="1:40" s="357" customFormat="1" ht="88.5" hidden="1" customHeight="1" x14ac:dyDescent="0.2">
      <c r="A7" s="1552"/>
      <c r="B7" s="1554"/>
      <c r="C7" s="407" t="s">
        <v>903</v>
      </c>
      <c r="D7" s="408" t="s">
        <v>904</v>
      </c>
      <c r="E7" s="375" t="s">
        <v>880</v>
      </c>
      <c r="F7" s="376" t="s">
        <v>881</v>
      </c>
      <c r="G7" s="414">
        <v>10500</v>
      </c>
      <c r="H7" s="414">
        <v>18500</v>
      </c>
      <c r="I7" s="415">
        <v>12500</v>
      </c>
      <c r="J7" s="416">
        <v>14500</v>
      </c>
      <c r="K7" s="417">
        <v>16500</v>
      </c>
      <c r="L7" s="418" t="s">
        <v>905</v>
      </c>
      <c r="M7" s="382"/>
      <c r="N7" s="383"/>
      <c r="O7" s="384"/>
      <c r="P7" s="416" t="e">
        <f>Tabla1[[#This Row],[Avance 1 trimestre ]]+Tabla1[[#This Row],[Avance  trimestre 2]]+Tabla1[[#This Row],[Avance  trimestre 3]]+Tabla1[[#This Row],[Avance  trimestre 4]]</f>
        <v>#REF!</v>
      </c>
      <c r="Q7" s="416"/>
      <c r="R7" s="416"/>
      <c r="S7" s="416"/>
      <c r="T7" s="416"/>
      <c r="U7" s="416">
        <f>'PLAN ESTRATEGICO'!M8</f>
        <v>0</v>
      </c>
      <c r="V7" s="416"/>
      <c r="W7" s="416"/>
      <c r="X7" s="416">
        <f>'PLAN ESTRATEGICO'!N8</f>
        <v>0</v>
      </c>
      <c r="Y7" s="414" t="e">
        <f>#REF!/#REF!</f>
        <v>#REF!</v>
      </c>
      <c r="Z7" s="414"/>
      <c r="AA7" s="414" t="e">
        <f>Tabla1[[#This Row],[Proyectado  trimestre 4]]/#REF!</f>
        <v>#REF!</v>
      </c>
      <c r="AB7" s="419"/>
      <c r="AC7" s="414"/>
      <c r="AD7" s="386" t="s">
        <v>898</v>
      </c>
      <c r="AE7" s="375" t="s">
        <v>883</v>
      </c>
      <c r="AF7" s="387" t="s">
        <v>890</v>
      </c>
      <c r="AG7" s="387" t="s">
        <v>899</v>
      </c>
      <c r="AH7" s="387" t="s">
        <v>892</v>
      </c>
      <c r="AI7" s="413" t="s">
        <v>906</v>
      </c>
      <c r="AJ7" s="373"/>
      <c r="AK7" s="389"/>
      <c r="AL7" s="373" t="e">
        <f>Tabla1[[#This Row],[Alcanzado  2015]]+Tabla1[[#This Row],[Alcanzado  2016]]+Tabla1[[#This Row],[Alcanzado  2017]]+Tabla1[[#This Row],[Avance 2018]]</f>
        <v>#REF!</v>
      </c>
      <c r="AM7" s="373"/>
      <c r="AN7" s="570" t="e">
        <f>Tabla1[[#This Row],[META 2018]]-AL7</f>
        <v>#VALUE!</v>
      </c>
    </row>
    <row r="8" spans="1:40" s="357" customFormat="1" ht="108" hidden="1" customHeight="1" x14ac:dyDescent="0.2">
      <c r="A8" s="1552"/>
      <c r="B8" s="1554"/>
      <c r="C8" s="407" t="s">
        <v>907</v>
      </c>
      <c r="D8" s="408" t="s">
        <v>908</v>
      </c>
      <c r="E8" s="375" t="s">
        <v>889</v>
      </c>
      <c r="F8" s="376" t="s">
        <v>881</v>
      </c>
      <c r="G8" s="409">
        <v>11.9</v>
      </c>
      <c r="H8" s="409">
        <v>10.5</v>
      </c>
      <c r="I8" s="410">
        <v>11.6</v>
      </c>
      <c r="J8" s="404">
        <v>11.2</v>
      </c>
      <c r="K8" s="411">
        <v>10.9</v>
      </c>
      <c r="L8" s="403">
        <v>800</v>
      </c>
      <c r="M8" s="382"/>
      <c r="N8" s="383"/>
      <c r="O8" s="384"/>
      <c r="P8" s="404" t="e">
        <f>Tabla1[[#This Row],[Avance 1 trimestre ]]+Tabla1[[#This Row],[Avance  trimestre 2]]+Tabla1[[#This Row],[Avance  trimestre 3]]+Tabla1[[#This Row],[Avance  trimestre 4]]</f>
        <v>#REF!</v>
      </c>
      <c r="Q8" s="404"/>
      <c r="R8" s="404"/>
      <c r="S8" s="404"/>
      <c r="T8" s="404"/>
      <c r="U8" s="404">
        <f>'PLAN ESTRATEGICO'!M9</f>
        <v>0</v>
      </c>
      <c r="V8" s="404"/>
      <c r="W8" s="404"/>
      <c r="X8" s="404">
        <f>'PLAN ESTRATEGICO'!N9</f>
        <v>0</v>
      </c>
      <c r="Y8" s="409" t="e">
        <f>#REF!/#REF!</f>
        <v>#REF!</v>
      </c>
      <c r="Z8" s="409"/>
      <c r="AA8" s="409" t="e">
        <f>Tabla1[[#This Row],[Proyectado  trimestre 4]]/#REF!</f>
        <v>#REF!</v>
      </c>
      <c r="AB8" s="412"/>
      <c r="AC8" s="409"/>
      <c r="AD8" s="386" t="s">
        <v>898</v>
      </c>
      <c r="AE8" s="375" t="s">
        <v>883</v>
      </c>
      <c r="AF8" s="387" t="s">
        <v>890</v>
      </c>
      <c r="AG8" s="387" t="s">
        <v>899</v>
      </c>
      <c r="AH8" s="387" t="s">
        <v>892</v>
      </c>
      <c r="AI8" s="420" t="s">
        <v>909</v>
      </c>
      <c r="AJ8" s="373"/>
      <c r="AK8" s="389"/>
      <c r="AL8" s="373" t="e">
        <f>Tabla1[[#This Row],[Alcanzado  2015]]+Tabla1[[#This Row],[Alcanzado  2016]]+Tabla1[[#This Row],[Alcanzado  2017]]+Tabla1[[#This Row],[Avance 2018]]</f>
        <v>#REF!</v>
      </c>
      <c r="AM8" s="373"/>
      <c r="AN8" s="570" t="e">
        <f>Tabla1[[#This Row],[META 2018]]-AL8</f>
        <v>#REF!</v>
      </c>
    </row>
    <row r="9" spans="1:40" s="357" customFormat="1" ht="93" hidden="1" customHeight="1" x14ac:dyDescent="0.2">
      <c r="A9" s="1552"/>
      <c r="B9" s="1554"/>
      <c r="C9" s="421" t="s">
        <v>910</v>
      </c>
      <c r="D9" s="408" t="s">
        <v>911</v>
      </c>
      <c r="E9" s="375" t="s">
        <v>880</v>
      </c>
      <c r="F9" s="422" t="s">
        <v>912</v>
      </c>
      <c r="G9" s="423">
        <v>180081</v>
      </c>
      <c r="H9" s="424">
        <v>838294</v>
      </c>
      <c r="I9" s="425">
        <v>201691</v>
      </c>
      <c r="J9" s="426">
        <v>206000</v>
      </c>
      <c r="K9" s="427">
        <v>212150</v>
      </c>
      <c r="L9" s="428">
        <v>1</v>
      </c>
      <c r="M9" s="382"/>
      <c r="N9" s="383"/>
      <c r="O9" s="384"/>
      <c r="P9" s="426" t="e">
        <f>Tabla1[[#This Row],[Avance 1 trimestre ]]+Tabla1[[#This Row],[Avance  trimestre 2]]+Tabla1[[#This Row],[Avance  trimestre 3]]+Tabla1[[#This Row],[Avance  trimestre 4]]</f>
        <v>#REF!</v>
      </c>
      <c r="Q9" s="426"/>
      <c r="R9" s="426"/>
      <c r="S9" s="426"/>
      <c r="T9" s="426"/>
      <c r="U9" s="426">
        <f>'PLAN ESTRATEGICO'!M10</f>
        <v>0</v>
      </c>
      <c r="V9" s="426"/>
      <c r="W9" s="426"/>
      <c r="X9" s="426">
        <f>'PLAN ESTRATEGICO'!N10</f>
        <v>0</v>
      </c>
      <c r="Y9" s="424" t="e">
        <f>#REF!/#REF!</f>
        <v>#REF!</v>
      </c>
      <c r="Z9" s="424"/>
      <c r="AA9" s="424" t="e">
        <f>Tabla1[[#This Row],[Proyectado  trimestre 4]]/#REF!</f>
        <v>#REF!</v>
      </c>
      <c r="AB9" s="429"/>
      <c r="AC9" s="424"/>
      <c r="AD9" s="386" t="s">
        <v>898</v>
      </c>
      <c r="AE9" s="375" t="s">
        <v>883</v>
      </c>
      <c r="AF9" s="375" t="s">
        <v>884</v>
      </c>
      <c r="AG9" s="375" t="s">
        <v>913</v>
      </c>
      <c r="AH9" s="375" t="s">
        <v>914</v>
      </c>
      <c r="AI9" s="413" t="s">
        <v>914</v>
      </c>
      <c r="AJ9" s="373"/>
      <c r="AK9" s="389"/>
      <c r="AL9" s="373" t="e">
        <f>Tabla1[[#This Row],[Alcanzado  2015]]+Tabla1[[#This Row],[Alcanzado  2016]]+Tabla1[[#This Row],[Alcanzado  2017]]+Tabla1[[#This Row],[Avance 2018]]</f>
        <v>#REF!</v>
      </c>
      <c r="AM9" s="373"/>
      <c r="AN9" s="570" t="e">
        <f>Tabla1[[#This Row],[META 2018]]-AL9</f>
        <v>#REF!</v>
      </c>
    </row>
    <row r="10" spans="1:40" s="357" customFormat="1" ht="87.75" hidden="1" customHeight="1" x14ac:dyDescent="0.2">
      <c r="A10" s="1552"/>
      <c r="B10" s="1554"/>
      <c r="C10" s="421" t="s">
        <v>915</v>
      </c>
      <c r="D10" s="408" t="s">
        <v>916</v>
      </c>
      <c r="E10" s="375" t="s">
        <v>889</v>
      </c>
      <c r="F10" s="430" t="s">
        <v>912</v>
      </c>
      <c r="G10" s="424">
        <v>32297</v>
      </c>
      <c r="H10" s="424">
        <v>325433</v>
      </c>
      <c r="I10" s="425">
        <v>60000</v>
      </c>
      <c r="J10" s="431">
        <v>181474</v>
      </c>
      <c r="K10" s="432">
        <v>193125</v>
      </c>
      <c r="L10" s="425"/>
      <c r="M10" s="382"/>
      <c r="N10" s="383"/>
      <c r="O10" s="433"/>
      <c r="P10" s="434" t="e">
        <f>Tabla1[[#This Row],[Avance 1 trimestre ]]+Tabla1[[#This Row],[Avance  trimestre 2]]+Tabla1[[#This Row],[Avance  trimestre 3]]+Tabla1[[#This Row],[Avance  trimestre 4]]</f>
        <v>#REF!</v>
      </c>
      <c r="Q10" s="431"/>
      <c r="R10" s="431"/>
      <c r="S10" s="431"/>
      <c r="T10" s="431"/>
      <c r="U10" s="431">
        <f>'PLAN ESTRATEGICO'!M11</f>
        <v>0</v>
      </c>
      <c r="V10" s="431"/>
      <c r="W10" s="431"/>
      <c r="X10" s="431">
        <f>'PLAN ESTRATEGICO'!N11</f>
        <v>0</v>
      </c>
      <c r="Y10" s="423" t="e">
        <f>#REF!/#REF!</f>
        <v>#REF!</v>
      </c>
      <c r="Z10" s="423"/>
      <c r="AA10" s="423" t="e">
        <f>Tabla1[[#This Row],[Proyectado  trimestre 4]]/#REF!</f>
        <v>#REF!</v>
      </c>
      <c r="AB10" s="435"/>
      <c r="AC10" s="423"/>
      <c r="AD10" s="386" t="s">
        <v>898</v>
      </c>
      <c r="AE10" s="375" t="s">
        <v>883</v>
      </c>
      <c r="AF10" s="375" t="s">
        <v>884</v>
      </c>
      <c r="AG10" s="375" t="s">
        <v>913</v>
      </c>
      <c r="AH10" s="375" t="s">
        <v>914</v>
      </c>
      <c r="AI10" s="413" t="s">
        <v>914</v>
      </c>
      <c r="AJ10" s="373"/>
      <c r="AK10" s="389"/>
      <c r="AL10" s="373" t="e">
        <f>Tabla1[[#This Row],[Alcanzado  2015]]+Tabla1[[#This Row],[Alcanzado  2016]]+Tabla1[[#This Row],[Alcanzado  2017]]+Tabla1[[#This Row],[Avance 2018]]</f>
        <v>#REF!</v>
      </c>
      <c r="AM10" s="373"/>
      <c r="AN10" s="570" t="e">
        <f>Tabla1[[#This Row],[META 2018]]-AL10</f>
        <v>#REF!</v>
      </c>
    </row>
    <row r="11" spans="1:40" s="357" customFormat="1" ht="80.25" customHeight="1" x14ac:dyDescent="0.2">
      <c r="A11" s="1552"/>
      <c r="B11" s="1554"/>
      <c r="C11" s="436" t="s">
        <v>917</v>
      </c>
      <c r="D11" s="437" t="s">
        <v>786</v>
      </c>
      <c r="E11" s="375" t="s">
        <v>880</v>
      </c>
      <c r="F11" s="519" t="s">
        <v>881</v>
      </c>
      <c r="G11" s="520">
        <v>0</v>
      </c>
      <c r="H11" s="520">
        <v>13</v>
      </c>
      <c r="I11" s="438">
        <v>0</v>
      </c>
      <c r="J11" s="439">
        <v>2</v>
      </c>
      <c r="K11" s="440">
        <v>5</v>
      </c>
      <c r="L11" s="438">
        <v>6</v>
      </c>
      <c r="M11" s="441">
        <f>'PLAN ESTRATEGICO'!Q14</f>
        <v>0</v>
      </c>
      <c r="N11" s="441">
        <f>'PLAN ESTRATEGICO'!R14</f>
        <v>4</v>
      </c>
      <c r="O11" s="441">
        <f>'PLAN ESTRATEGICO'!S14</f>
        <v>5</v>
      </c>
      <c r="P11" s="613">
        <f>Tabla1[[#This Row],[Avance 1 trimestre ]]+Tabla1[[#This Row],[Avance  trimestre 2]]+Tabla1[[#This Row],[Avance  trimestre 3]]+Tabla1[[#This Row],[Avance  trimestre 4]]</f>
        <v>0</v>
      </c>
      <c r="Q11" s="573"/>
      <c r="R11" s="631">
        <f>'PLAN ESTRATEGICO'!L14</f>
        <v>0</v>
      </c>
      <c r="S11" s="573"/>
      <c r="T11" s="442"/>
      <c r="U11" s="632">
        <f>'PLAN ESTRATEGICO'!M14</f>
        <v>0</v>
      </c>
      <c r="V11" s="442"/>
      <c r="W11" s="443"/>
      <c r="X11" s="633">
        <f>'PLAN ESTRATEGICO'!N14</f>
        <v>0</v>
      </c>
      <c r="Y11" s="444"/>
      <c r="Z11" s="574">
        <v>6</v>
      </c>
      <c r="AA11" s="634">
        <f>'PLAN ESTRATEGICO'!O14</f>
        <v>0</v>
      </c>
      <c r="AB11" s="445"/>
      <c r="AC11" s="446"/>
      <c r="AD11" s="386" t="s">
        <v>898</v>
      </c>
      <c r="AE11" s="375" t="s">
        <v>883</v>
      </c>
      <c r="AF11" s="387" t="s">
        <v>918</v>
      </c>
      <c r="AG11" s="387" t="s">
        <v>919</v>
      </c>
      <c r="AH11" s="387" t="s">
        <v>886</v>
      </c>
      <c r="AI11" s="388" t="s">
        <v>886</v>
      </c>
      <c r="AJ11" s="373"/>
      <c r="AK11" s="389"/>
      <c r="AL11" s="373">
        <f>Tabla1[[#This Row],[Alcanzado  2015]]+Tabla1[[#This Row],[Alcanzado  2016]]+Tabla1[[#This Row],[Alcanzado  2017]]+Tabla1[[#This Row],[Avance 2018]]</f>
        <v>9</v>
      </c>
      <c r="AM11" s="373"/>
      <c r="AN11" s="570">
        <f>Tabla1[[#This Row],[META 2018]]-AL11</f>
        <v>-3</v>
      </c>
    </row>
    <row r="12" spans="1:40" s="357" customFormat="1" ht="78" hidden="1" customHeight="1" x14ac:dyDescent="0.2">
      <c r="A12" s="1552"/>
      <c r="B12" s="1554"/>
      <c r="C12" s="421" t="s">
        <v>920</v>
      </c>
      <c r="D12" s="408" t="s">
        <v>921</v>
      </c>
      <c r="E12" s="375" t="s">
        <v>889</v>
      </c>
      <c r="F12" s="422" t="s">
        <v>912</v>
      </c>
      <c r="G12" s="447">
        <v>240000</v>
      </c>
      <c r="H12" s="414">
        <v>2000000</v>
      </c>
      <c r="I12" s="415">
        <v>680000</v>
      </c>
      <c r="J12" s="416">
        <v>1120000</v>
      </c>
      <c r="K12" s="417">
        <v>1560000</v>
      </c>
      <c r="L12" s="415"/>
      <c r="M12" s="382"/>
      <c r="N12" s="383"/>
      <c r="O12" s="384"/>
      <c r="P12" s="416" t="e">
        <f>Tabla1[[#This Row],[Avance 1 trimestre ]]+Tabla1[[#This Row],[Avance  trimestre 2]]+Tabla1[[#This Row],[Avance  trimestre 3]]+Tabla1[[#This Row],[Avance  trimestre 4]]</f>
        <v>#REF!</v>
      </c>
      <c r="Q12" s="416"/>
      <c r="R12" s="416"/>
      <c r="S12" s="416"/>
      <c r="T12" s="416"/>
      <c r="U12" s="416">
        <f>'PLAN ESTRATEGICO'!M13</f>
        <v>0</v>
      </c>
      <c r="V12" s="416"/>
      <c r="W12" s="416"/>
      <c r="X12" s="416">
        <f>'PLAN ESTRATEGICO'!N13</f>
        <v>0</v>
      </c>
      <c r="Y12" s="414" t="e">
        <f>#REF!/#REF!</f>
        <v>#REF!</v>
      </c>
      <c r="Z12" s="414"/>
      <c r="AA12" s="414" t="e">
        <f>Tabla1[[#This Row],[Proyectado  trimestre 4]]/#REF!</f>
        <v>#REF!</v>
      </c>
      <c r="AB12" s="448"/>
      <c r="AC12" s="414"/>
      <c r="AD12" s="386" t="s">
        <v>898</v>
      </c>
      <c r="AE12" s="375" t="s">
        <v>883</v>
      </c>
      <c r="AF12" s="375" t="s">
        <v>890</v>
      </c>
      <c r="AG12" s="375" t="s">
        <v>922</v>
      </c>
      <c r="AH12" s="375" t="s">
        <v>923</v>
      </c>
      <c r="AI12" s="420" t="s">
        <v>923</v>
      </c>
      <c r="AJ12" s="373"/>
      <c r="AK12" s="389"/>
      <c r="AL12" s="373" t="e">
        <f>Tabla1[[#This Row],[Alcanzado  2015]]+Tabla1[[#This Row],[Alcanzado  2016]]+Tabla1[[#This Row],[Alcanzado  2017]]+Tabla1[[#This Row],[Avance 2018]]</f>
        <v>#REF!</v>
      </c>
      <c r="AM12" s="373"/>
      <c r="AN12" s="570" t="e">
        <f>Tabla1[[#This Row],[META 2018]]-AL12</f>
        <v>#REF!</v>
      </c>
    </row>
    <row r="13" spans="1:40" s="357" customFormat="1" ht="92.25" hidden="1" customHeight="1" x14ac:dyDescent="0.2">
      <c r="A13" s="1552"/>
      <c r="B13" s="1554"/>
      <c r="C13" s="421" t="s">
        <v>924</v>
      </c>
      <c r="D13" s="408" t="s">
        <v>925</v>
      </c>
      <c r="E13" s="375" t="s">
        <v>889</v>
      </c>
      <c r="F13" s="422" t="s">
        <v>912</v>
      </c>
      <c r="G13" s="447">
        <v>120000</v>
      </c>
      <c r="H13" s="414">
        <v>1000000</v>
      </c>
      <c r="I13" s="415">
        <v>250000</v>
      </c>
      <c r="J13" s="416">
        <v>300000</v>
      </c>
      <c r="K13" s="417">
        <v>600000</v>
      </c>
      <c r="L13" s="415"/>
      <c r="M13" s="382"/>
      <c r="N13" s="383"/>
      <c r="O13" s="384"/>
      <c r="P13" s="416" t="e">
        <f>Tabla1[[#This Row],[Avance 1 trimestre ]]+Tabla1[[#This Row],[Avance  trimestre 2]]+Tabla1[[#This Row],[Avance  trimestre 3]]+Tabla1[[#This Row],[Avance  trimestre 4]]</f>
        <v>#REF!</v>
      </c>
      <c r="Q13" s="416"/>
      <c r="R13" s="416"/>
      <c r="S13" s="416"/>
      <c r="T13" s="416"/>
      <c r="U13" s="416">
        <f>'PLAN ESTRATEGICO'!M14</f>
        <v>0</v>
      </c>
      <c r="V13" s="416"/>
      <c r="W13" s="416"/>
      <c r="X13" s="416">
        <f>'PLAN ESTRATEGICO'!N14</f>
        <v>0</v>
      </c>
      <c r="Y13" s="414" t="e">
        <f>#REF!/#REF!</f>
        <v>#REF!</v>
      </c>
      <c r="Z13" s="414"/>
      <c r="AA13" s="414" t="e">
        <f>Tabla1[[#This Row],[Proyectado  trimestre 4]]/#REF!</f>
        <v>#REF!</v>
      </c>
      <c r="AB13" s="419"/>
      <c r="AC13" s="414"/>
      <c r="AD13" s="386" t="s">
        <v>898</v>
      </c>
      <c r="AE13" s="375" t="s">
        <v>883</v>
      </c>
      <c r="AF13" s="375" t="s">
        <v>890</v>
      </c>
      <c r="AG13" s="375" t="s">
        <v>922</v>
      </c>
      <c r="AH13" s="375" t="s">
        <v>923</v>
      </c>
      <c r="AI13" s="420" t="s">
        <v>923</v>
      </c>
      <c r="AJ13" s="373"/>
      <c r="AK13" s="389"/>
      <c r="AL13" s="373" t="e">
        <f>Tabla1[[#This Row],[Alcanzado  2015]]+Tabla1[[#This Row],[Alcanzado  2016]]+Tabla1[[#This Row],[Alcanzado  2017]]+Tabla1[[#This Row],[Avance 2018]]</f>
        <v>#REF!</v>
      </c>
      <c r="AM13" s="373"/>
      <c r="AN13" s="570" t="e">
        <f>Tabla1[[#This Row],[META 2018]]-AL13</f>
        <v>#REF!</v>
      </c>
    </row>
    <row r="14" spans="1:40" s="357" customFormat="1" ht="90.75" hidden="1" customHeight="1" x14ac:dyDescent="0.2">
      <c r="A14" s="1552"/>
      <c r="B14" s="1554"/>
      <c r="C14" s="421" t="s">
        <v>926</v>
      </c>
      <c r="D14" s="408" t="s">
        <v>927</v>
      </c>
      <c r="E14" s="375" t="s">
        <v>880</v>
      </c>
      <c r="F14" s="422" t="s">
        <v>881</v>
      </c>
      <c r="G14" s="424">
        <v>415000</v>
      </c>
      <c r="H14" s="424">
        <v>800000</v>
      </c>
      <c r="I14" s="425">
        <v>700000</v>
      </c>
      <c r="J14" s="426">
        <v>900000</v>
      </c>
      <c r="K14" s="427">
        <v>1100000</v>
      </c>
      <c r="L14" s="425"/>
      <c r="M14" s="382"/>
      <c r="N14" s="383"/>
      <c r="O14" s="384"/>
      <c r="P14" s="426" t="e">
        <f>Tabla1[[#This Row],[Avance 1 trimestre ]]+Tabla1[[#This Row],[Avance  trimestre 2]]+Tabla1[[#This Row],[Avance  trimestre 3]]+Tabla1[[#This Row],[Avance  trimestre 4]]</f>
        <v>#REF!</v>
      </c>
      <c r="Q14" s="426"/>
      <c r="R14" s="426"/>
      <c r="S14" s="426"/>
      <c r="T14" s="426"/>
      <c r="U14" s="426">
        <f>'PLAN ESTRATEGICO'!M15</f>
        <v>0</v>
      </c>
      <c r="V14" s="426"/>
      <c r="W14" s="426"/>
      <c r="X14" s="426">
        <f>'PLAN ESTRATEGICO'!N15</f>
        <v>0</v>
      </c>
      <c r="Y14" s="424" t="e">
        <f>#REF!/#REF!</f>
        <v>#REF!</v>
      </c>
      <c r="Z14" s="424"/>
      <c r="AA14" s="424" t="e">
        <f>Tabla1[[#This Row],[Proyectado  trimestre 4]]/#REF!</f>
        <v>#REF!</v>
      </c>
      <c r="AB14" s="429"/>
      <c r="AC14" s="424"/>
      <c r="AD14" s="386" t="s">
        <v>898</v>
      </c>
      <c r="AE14" s="375" t="s">
        <v>883</v>
      </c>
      <c r="AF14" s="375" t="s">
        <v>890</v>
      </c>
      <c r="AG14" s="375" t="s">
        <v>922</v>
      </c>
      <c r="AH14" s="375" t="s">
        <v>923</v>
      </c>
      <c r="AI14" s="413" t="s">
        <v>923</v>
      </c>
      <c r="AJ14" s="373"/>
      <c r="AK14" s="389"/>
      <c r="AL14" s="373" t="e">
        <f>Tabla1[[#This Row],[Alcanzado  2015]]+Tabla1[[#This Row],[Alcanzado  2016]]+Tabla1[[#This Row],[Alcanzado  2017]]+Tabla1[[#This Row],[Avance 2018]]</f>
        <v>#REF!</v>
      </c>
      <c r="AM14" s="373"/>
      <c r="AN14" s="570" t="e">
        <f>Tabla1[[#This Row],[META 2018]]-AL14</f>
        <v>#REF!</v>
      </c>
    </row>
    <row r="15" spans="1:40" s="357" customFormat="1" ht="86.25" hidden="1" customHeight="1" x14ac:dyDescent="0.2">
      <c r="A15" s="1552"/>
      <c r="B15" s="1554"/>
      <c r="C15" s="421" t="s">
        <v>928</v>
      </c>
      <c r="D15" s="408" t="s">
        <v>929</v>
      </c>
      <c r="E15" s="375" t="s">
        <v>880</v>
      </c>
      <c r="F15" s="430" t="s">
        <v>881</v>
      </c>
      <c r="G15" s="424">
        <v>285</v>
      </c>
      <c r="H15" s="424">
        <v>500</v>
      </c>
      <c r="I15" s="425">
        <v>350</v>
      </c>
      <c r="J15" s="426">
        <v>400</v>
      </c>
      <c r="K15" s="427">
        <v>450</v>
      </c>
      <c r="L15" s="425"/>
      <c r="M15" s="382"/>
      <c r="N15" s="383"/>
      <c r="O15" s="384"/>
      <c r="P15" s="426" t="e">
        <f>Tabla1[[#This Row],[Avance 1 trimestre ]]+Tabla1[[#This Row],[Avance  trimestre 2]]+Tabla1[[#This Row],[Avance  trimestre 3]]+Tabla1[[#This Row],[Avance  trimestre 4]]</f>
        <v>#REF!</v>
      </c>
      <c r="Q15" s="426"/>
      <c r="R15" s="426"/>
      <c r="S15" s="426"/>
      <c r="T15" s="426"/>
      <c r="U15" s="426">
        <f>'PLAN ESTRATEGICO'!M16</f>
        <v>0</v>
      </c>
      <c r="V15" s="426"/>
      <c r="W15" s="426"/>
      <c r="X15" s="426">
        <f>'PLAN ESTRATEGICO'!N16</f>
        <v>0</v>
      </c>
      <c r="Y15" s="424" t="e">
        <f>#REF!/#REF!</f>
        <v>#REF!</v>
      </c>
      <c r="Z15" s="424"/>
      <c r="AA15" s="424" t="e">
        <f>Tabla1[[#This Row],[Proyectado  trimestre 4]]/#REF!</f>
        <v>#REF!</v>
      </c>
      <c r="AB15" s="429"/>
      <c r="AC15" s="424"/>
      <c r="AD15" s="386" t="s">
        <v>898</v>
      </c>
      <c r="AE15" s="375" t="s">
        <v>883</v>
      </c>
      <c r="AF15" s="375" t="s">
        <v>890</v>
      </c>
      <c r="AG15" s="375" t="s">
        <v>922</v>
      </c>
      <c r="AH15" s="375" t="s">
        <v>923</v>
      </c>
      <c r="AI15" s="413" t="s">
        <v>923</v>
      </c>
      <c r="AJ15" s="373"/>
      <c r="AK15" s="389"/>
      <c r="AL15" s="373" t="e">
        <f>Tabla1[[#This Row],[Alcanzado  2015]]+Tabla1[[#This Row],[Alcanzado  2016]]+Tabla1[[#This Row],[Alcanzado  2017]]+Tabla1[[#This Row],[Avance 2018]]</f>
        <v>#REF!</v>
      </c>
      <c r="AM15" s="373"/>
      <c r="AN15" s="570" t="e">
        <f>Tabla1[[#This Row],[META 2018]]-AL15</f>
        <v>#REF!</v>
      </c>
    </row>
    <row r="16" spans="1:40" s="357" customFormat="1" ht="75.75" hidden="1" customHeight="1" x14ac:dyDescent="0.2">
      <c r="A16" s="1552"/>
      <c r="B16" s="1554"/>
      <c r="C16" s="1556" t="s">
        <v>930</v>
      </c>
      <c r="D16" s="408" t="s">
        <v>931</v>
      </c>
      <c r="E16" s="375" t="s">
        <v>932</v>
      </c>
      <c r="F16" s="430" t="s">
        <v>881</v>
      </c>
      <c r="G16" s="424">
        <v>800</v>
      </c>
      <c r="H16" s="424">
        <v>18000</v>
      </c>
      <c r="I16" s="425">
        <v>5000</v>
      </c>
      <c r="J16" s="426">
        <v>5000</v>
      </c>
      <c r="K16" s="427">
        <v>4000</v>
      </c>
      <c r="L16" s="425"/>
      <c r="M16" s="382"/>
      <c r="N16" s="383"/>
      <c r="O16" s="384"/>
      <c r="P16" s="426" t="e">
        <f>Tabla1[[#This Row],[Avance 1 trimestre ]]+Tabla1[[#This Row],[Avance  trimestre 2]]+Tabla1[[#This Row],[Avance  trimestre 3]]+Tabla1[[#This Row],[Avance  trimestre 4]]</f>
        <v>#REF!</v>
      </c>
      <c r="Q16" s="426"/>
      <c r="R16" s="426"/>
      <c r="S16" s="426"/>
      <c r="T16" s="426"/>
      <c r="U16" s="426">
        <f>'PLAN ESTRATEGICO'!M17</f>
        <v>0</v>
      </c>
      <c r="V16" s="426"/>
      <c r="W16" s="426"/>
      <c r="X16" s="426">
        <f>'PLAN ESTRATEGICO'!N17</f>
        <v>0</v>
      </c>
      <c r="Y16" s="424" t="e">
        <f>#REF!/#REF!</f>
        <v>#REF!</v>
      </c>
      <c r="Z16" s="424"/>
      <c r="AA16" s="424" t="e">
        <f>Tabla1[[#This Row],[Proyectado  trimestre 4]]/#REF!</f>
        <v>#REF!</v>
      </c>
      <c r="AB16" s="429"/>
      <c r="AC16" s="424"/>
      <c r="AD16" s="386" t="s">
        <v>898</v>
      </c>
      <c r="AE16" s="375" t="s">
        <v>933</v>
      </c>
      <c r="AF16" s="375" t="s">
        <v>934</v>
      </c>
      <c r="AG16" s="375" t="s">
        <v>935</v>
      </c>
      <c r="AH16" s="375" t="s">
        <v>923</v>
      </c>
      <c r="AI16" s="413" t="s">
        <v>923</v>
      </c>
      <c r="AJ16" s="373"/>
      <c r="AK16" s="389"/>
      <c r="AL16" s="373" t="e">
        <f>Tabla1[[#This Row],[Alcanzado  2015]]+Tabla1[[#This Row],[Alcanzado  2016]]+Tabla1[[#This Row],[Alcanzado  2017]]+Tabla1[[#This Row],[Avance 2018]]</f>
        <v>#REF!</v>
      </c>
      <c r="AM16" s="373"/>
      <c r="AN16" s="570" t="e">
        <f>Tabla1[[#This Row],[META 2018]]-AL16</f>
        <v>#REF!</v>
      </c>
    </row>
    <row r="17" spans="1:40" s="357" customFormat="1" ht="67.5" hidden="1" customHeight="1" x14ac:dyDescent="0.2">
      <c r="A17" s="1552"/>
      <c r="B17" s="1554"/>
      <c r="C17" s="1556"/>
      <c r="D17" s="408" t="s">
        <v>936</v>
      </c>
      <c r="E17" s="375" t="s">
        <v>889</v>
      </c>
      <c r="F17" s="430" t="s">
        <v>912</v>
      </c>
      <c r="G17" s="447">
        <v>270000</v>
      </c>
      <c r="H17" s="414">
        <v>1530000</v>
      </c>
      <c r="I17" s="415">
        <v>315000</v>
      </c>
      <c r="J17" s="416">
        <v>360000</v>
      </c>
      <c r="K17" s="417">
        <v>405000</v>
      </c>
      <c r="L17" s="415"/>
      <c r="M17" s="382"/>
      <c r="N17" s="383"/>
      <c r="O17" s="384"/>
      <c r="P17" s="416" t="e">
        <f>Tabla1[[#This Row],[Avance 1 trimestre ]]+Tabla1[[#This Row],[Avance  trimestre 2]]+Tabla1[[#This Row],[Avance  trimestre 3]]+Tabla1[[#This Row],[Avance  trimestre 4]]</f>
        <v>#REF!</v>
      </c>
      <c r="Q17" s="416"/>
      <c r="R17" s="416"/>
      <c r="S17" s="416"/>
      <c r="T17" s="416"/>
      <c r="U17" s="416">
        <f>'PLAN ESTRATEGICO'!M18</f>
        <v>0</v>
      </c>
      <c r="V17" s="416"/>
      <c r="W17" s="416"/>
      <c r="X17" s="416">
        <f>'PLAN ESTRATEGICO'!N18</f>
        <v>0</v>
      </c>
      <c r="Y17" s="414" t="e">
        <f>#REF!/#REF!</f>
        <v>#REF!</v>
      </c>
      <c r="Z17" s="414"/>
      <c r="AA17" s="414" t="e">
        <f>Tabla1[[#This Row],[Proyectado  trimestre 4]]/#REF!</f>
        <v>#REF!</v>
      </c>
      <c r="AB17" s="419"/>
      <c r="AC17" s="414"/>
      <c r="AD17" s="386" t="s">
        <v>898</v>
      </c>
      <c r="AE17" s="375" t="s">
        <v>883</v>
      </c>
      <c r="AF17" s="375" t="s">
        <v>890</v>
      </c>
      <c r="AG17" s="375" t="s">
        <v>922</v>
      </c>
      <c r="AH17" s="375" t="s">
        <v>923</v>
      </c>
      <c r="AI17" s="413" t="s">
        <v>923</v>
      </c>
      <c r="AJ17" s="373"/>
      <c r="AK17" s="389"/>
      <c r="AL17" s="373" t="e">
        <f>Tabla1[[#This Row],[Alcanzado  2015]]+Tabla1[[#This Row],[Alcanzado  2016]]+Tabla1[[#This Row],[Alcanzado  2017]]+Tabla1[[#This Row],[Avance 2018]]</f>
        <v>#REF!</v>
      </c>
      <c r="AM17" s="373"/>
      <c r="AN17" s="570" t="e">
        <f>Tabla1[[#This Row],[META 2018]]-AL17</f>
        <v>#REF!</v>
      </c>
    </row>
    <row r="18" spans="1:40" s="357" customFormat="1" ht="93" hidden="1" customHeight="1" x14ac:dyDescent="0.2">
      <c r="A18" s="1552"/>
      <c r="B18" s="1554"/>
      <c r="C18" s="1556"/>
      <c r="D18" s="408" t="s">
        <v>937</v>
      </c>
      <c r="E18" s="375" t="s">
        <v>889</v>
      </c>
      <c r="F18" s="430" t="s">
        <v>912</v>
      </c>
      <c r="G18" s="447">
        <v>21211</v>
      </c>
      <c r="H18" s="414">
        <v>62777</v>
      </c>
      <c r="I18" s="415">
        <v>34527</v>
      </c>
      <c r="J18" s="416">
        <v>43944</v>
      </c>
      <c r="K18" s="417">
        <v>53360</v>
      </c>
      <c r="L18" s="415"/>
      <c r="M18" s="382"/>
      <c r="N18" s="383"/>
      <c r="O18" s="384"/>
      <c r="P18" s="416" t="e">
        <f>Tabla1[[#This Row],[Avance 1 trimestre ]]+Tabla1[[#This Row],[Avance  trimestre 2]]+Tabla1[[#This Row],[Avance  trimestre 3]]+Tabla1[[#This Row],[Avance  trimestre 4]]</f>
        <v>#REF!</v>
      </c>
      <c r="Q18" s="416"/>
      <c r="R18" s="416"/>
      <c r="S18" s="416"/>
      <c r="T18" s="416"/>
      <c r="U18" s="416">
        <f>'PLAN ESTRATEGICO'!M19</f>
        <v>0</v>
      </c>
      <c r="V18" s="416"/>
      <c r="W18" s="416"/>
      <c r="X18" s="416">
        <f>'PLAN ESTRATEGICO'!N19</f>
        <v>0</v>
      </c>
      <c r="Y18" s="414" t="e">
        <f>#REF!/#REF!</f>
        <v>#REF!</v>
      </c>
      <c r="Z18" s="414"/>
      <c r="AA18" s="414" t="e">
        <f>Tabla1[[#This Row],[Proyectado  trimestre 4]]/#REF!</f>
        <v>#REF!</v>
      </c>
      <c r="AB18" s="419"/>
      <c r="AC18" s="414"/>
      <c r="AD18" s="386" t="s">
        <v>898</v>
      </c>
      <c r="AE18" s="375" t="s">
        <v>883</v>
      </c>
      <c r="AF18" s="375" t="s">
        <v>890</v>
      </c>
      <c r="AG18" s="375" t="s">
        <v>922</v>
      </c>
      <c r="AH18" s="375" t="s">
        <v>923</v>
      </c>
      <c r="AI18" s="413" t="s">
        <v>923</v>
      </c>
      <c r="AJ18" s="373"/>
      <c r="AK18" s="389"/>
      <c r="AL18" s="373" t="e">
        <f>Tabla1[[#This Row],[Alcanzado  2015]]+Tabla1[[#This Row],[Alcanzado  2016]]+Tabla1[[#This Row],[Alcanzado  2017]]+Tabla1[[#This Row],[Avance 2018]]</f>
        <v>#REF!</v>
      </c>
      <c r="AM18" s="373"/>
      <c r="AN18" s="570" t="e">
        <f>Tabla1[[#This Row],[META 2018]]-AL18</f>
        <v>#REF!</v>
      </c>
    </row>
    <row r="19" spans="1:40" s="357" customFormat="1" ht="93" hidden="1" customHeight="1" x14ac:dyDescent="0.2">
      <c r="A19" s="1552"/>
      <c r="B19" s="1554"/>
      <c r="C19" s="1556"/>
      <c r="D19" s="408" t="s">
        <v>938</v>
      </c>
      <c r="E19" s="375" t="s">
        <v>889</v>
      </c>
      <c r="F19" s="430" t="s">
        <v>912</v>
      </c>
      <c r="G19" s="447">
        <v>4700</v>
      </c>
      <c r="H19" s="414">
        <v>13910</v>
      </c>
      <c r="I19" s="415">
        <v>7651</v>
      </c>
      <c r="J19" s="416">
        <v>9737</v>
      </c>
      <c r="K19" s="417">
        <v>11824</v>
      </c>
      <c r="L19" s="415"/>
      <c r="M19" s="382"/>
      <c r="N19" s="383"/>
      <c r="O19" s="384"/>
      <c r="P19" s="416" t="e">
        <f>Tabla1[[#This Row],[Avance 1 trimestre ]]+Tabla1[[#This Row],[Avance  trimestre 2]]+Tabla1[[#This Row],[Avance  trimestre 3]]+Tabla1[[#This Row],[Avance  trimestre 4]]</f>
        <v>#REF!</v>
      </c>
      <c r="Q19" s="416"/>
      <c r="R19" s="416"/>
      <c r="S19" s="416"/>
      <c r="T19" s="416"/>
      <c r="U19" s="416">
        <f>'PLAN ESTRATEGICO'!M20</f>
        <v>0</v>
      </c>
      <c r="V19" s="416"/>
      <c r="W19" s="416"/>
      <c r="X19" s="416">
        <f>'PLAN ESTRATEGICO'!N20</f>
        <v>0</v>
      </c>
      <c r="Y19" s="414" t="e">
        <f>#REF!/#REF!</f>
        <v>#REF!</v>
      </c>
      <c r="Z19" s="414"/>
      <c r="AA19" s="414" t="e">
        <f>Tabla1[[#This Row],[Proyectado  trimestre 4]]/#REF!</f>
        <v>#REF!</v>
      </c>
      <c r="AB19" s="419"/>
      <c r="AC19" s="414"/>
      <c r="AD19" s="386" t="s">
        <v>898</v>
      </c>
      <c r="AE19" s="375" t="s">
        <v>883</v>
      </c>
      <c r="AF19" s="375" t="s">
        <v>890</v>
      </c>
      <c r="AG19" s="375" t="s">
        <v>922</v>
      </c>
      <c r="AH19" s="375" t="s">
        <v>923</v>
      </c>
      <c r="AI19" s="413" t="s">
        <v>923</v>
      </c>
      <c r="AJ19" s="373"/>
      <c r="AK19" s="389"/>
      <c r="AL19" s="373" t="e">
        <f>Tabla1[[#This Row],[Alcanzado  2015]]+Tabla1[[#This Row],[Alcanzado  2016]]+Tabla1[[#This Row],[Alcanzado  2017]]+Tabla1[[#This Row],[Avance 2018]]</f>
        <v>#REF!</v>
      </c>
      <c r="AM19" s="373"/>
      <c r="AN19" s="570" t="e">
        <f>Tabla1[[#This Row],[META 2018]]-AL19</f>
        <v>#REF!</v>
      </c>
    </row>
    <row r="20" spans="1:40" s="357" customFormat="1" ht="93" hidden="1" customHeight="1" thickBot="1" x14ac:dyDescent="0.25">
      <c r="A20" s="1552"/>
      <c r="B20" s="1554"/>
      <c r="C20" s="1556"/>
      <c r="D20" s="408" t="s">
        <v>939</v>
      </c>
      <c r="E20" s="375" t="s">
        <v>880</v>
      </c>
      <c r="F20" s="430" t="s">
        <v>912</v>
      </c>
      <c r="G20" s="426">
        <v>0</v>
      </c>
      <c r="H20" s="447">
        <v>18856</v>
      </c>
      <c r="I20" s="575">
        <v>9428</v>
      </c>
      <c r="J20" s="426">
        <v>9428</v>
      </c>
      <c r="K20" s="417">
        <v>0</v>
      </c>
      <c r="L20" s="575"/>
      <c r="M20" s="382"/>
      <c r="N20" s="383"/>
      <c r="O20" s="384"/>
      <c r="P20" s="426" t="e">
        <f>Tabla1[[#This Row],[Avance 1 trimestre ]]+Tabla1[[#This Row],[Avance  trimestre 2]]+Tabla1[[#This Row],[Avance  trimestre 3]]+Tabla1[[#This Row],[Avance  trimestre 4]]</f>
        <v>#REF!</v>
      </c>
      <c r="Q20" s="426"/>
      <c r="R20" s="426"/>
      <c r="S20" s="426"/>
      <c r="T20" s="426"/>
      <c r="U20" s="426">
        <f>'PLAN ESTRATEGICO'!M21</f>
        <v>0</v>
      </c>
      <c r="V20" s="426"/>
      <c r="W20" s="426"/>
      <c r="X20" s="426">
        <f>'PLAN ESTRATEGICO'!N21</f>
        <v>0</v>
      </c>
      <c r="Y20" s="474" t="e">
        <f>#REF!/#REF!</f>
        <v>#REF!</v>
      </c>
      <c r="Z20" s="474"/>
      <c r="AA20" s="474" t="e">
        <f>Tabla1[[#This Row],[Proyectado  trimestre 4]]/#REF!</f>
        <v>#REF!</v>
      </c>
      <c r="AB20" s="396"/>
      <c r="AC20" s="450"/>
      <c r="AD20" s="397" t="s">
        <v>898</v>
      </c>
      <c r="AE20" s="391" t="s">
        <v>883</v>
      </c>
      <c r="AF20" s="391" t="s">
        <v>890</v>
      </c>
      <c r="AG20" s="392" t="s">
        <v>940</v>
      </c>
      <c r="AH20" s="392" t="s">
        <v>923</v>
      </c>
      <c r="AI20" s="451" t="s">
        <v>923</v>
      </c>
      <c r="AJ20" s="400"/>
      <c r="AK20" s="401"/>
      <c r="AL20" s="373" t="e">
        <f>Tabla1[[#This Row],[Alcanzado  2015]]+Tabla1[[#This Row],[Alcanzado  2016]]+Tabla1[[#This Row],[Alcanzado  2017]]+Tabla1[[#This Row],[Avance 2018]]</f>
        <v>#REF!</v>
      </c>
      <c r="AM20" s="373"/>
      <c r="AN20" s="570" t="e">
        <f>Tabla1[[#This Row],[META 2018]]-AL20</f>
        <v>#REF!</v>
      </c>
    </row>
    <row r="21" spans="1:40" s="357" customFormat="1" ht="66.75" hidden="1" customHeight="1" x14ac:dyDescent="0.2">
      <c r="A21" s="1552" t="s">
        <v>941</v>
      </c>
      <c r="B21" s="1554">
        <v>0.25</v>
      </c>
      <c r="C21" s="576" t="s">
        <v>942</v>
      </c>
      <c r="D21" s="408" t="s">
        <v>943</v>
      </c>
      <c r="E21" s="375" t="s">
        <v>889</v>
      </c>
      <c r="F21" s="376" t="s">
        <v>944</v>
      </c>
      <c r="G21" s="447">
        <v>40283</v>
      </c>
      <c r="H21" s="414">
        <v>320000</v>
      </c>
      <c r="I21" s="415">
        <v>82283</v>
      </c>
      <c r="J21" s="416">
        <v>161522</v>
      </c>
      <c r="K21" s="417">
        <v>240761</v>
      </c>
      <c r="L21" s="415"/>
      <c r="M21" s="382"/>
      <c r="N21" s="383"/>
      <c r="O21" s="384"/>
      <c r="P21" s="416" t="e">
        <f>Tabla1[[#This Row],[Avance 1 trimestre ]]+Tabla1[[#This Row],[Avance  trimestre 2]]+Tabla1[[#This Row],[Avance  trimestre 3]]+Tabla1[[#This Row],[Avance  trimestre 4]]</f>
        <v>#REF!</v>
      </c>
      <c r="Q21" s="416"/>
      <c r="R21" s="416"/>
      <c r="S21" s="416"/>
      <c r="T21" s="416"/>
      <c r="U21" s="416">
        <f>'PLAN ESTRATEGICO'!M22</f>
        <v>0</v>
      </c>
      <c r="V21" s="416"/>
      <c r="W21" s="416"/>
      <c r="X21" s="416">
        <f>'PLAN ESTRATEGICO'!N22</f>
        <v>0</v>
      </c>
      <c r="Y21" s="414" t="e">
        <f>#REF!/#REF!</f>
        <v>#REF!</v>
      </c>
      <c r="Z21" s="414"/>
      <c r="AA21" s="414" t="e">
        <f>Tabla1[[#This Row],[Proyectado  trimestre 4]]/#REF!</f>
        <v>#REF!</v>
      </c>
      <c r="AB21" s="453"/>
      <c r="AC21" s="452"/>
      <c r="AD21" s="367" t="s">
        <v>898</v>
      </c>
      <c r="AE21" s="368" t="s">
        <v>883</v>
      </c>
      <c r="AF21" s="369" t="s">
        <v>890</v>
      </c>
      <c r="AG21" s="369" t="s">
        <v>945</v>
      </c>
      <c r="AH21" s="369" t="s">
        <v>892</v>
      </c>
      <c r="AI21" s="454" t="s">
        <v>946</v>
      </c>
      <c r="AJ21" s="371"/>
      <c r="AK21" s="372"/>
      <c r="AL21" s="373" t="e">
        <f>Tabla1[[#This Row],[Alcanzado  2015]]+Tabla1[[#This Row],[Alcanzado  2016]]+Tabla1[[#This Row],[Alcanzado  2017]]+Tabla1[[#This Row],[Avance 2018]]</f>
        <v>#REF!</v>
      </c>
      <c r="AM21" s="373"/>
      <c r="AN21" s="570" t="e">
        <f>Tabla1[[#This Row],[META 2018]]-AL21</f>
        <v>#REF!</v>
      </c>
    </row>
    <row r="22" spans="1:40" s="357" customFormat="1" ht="63" hidden="1" customHeight="1" x14ac:dyDescent="0.2">
      <c r="A22" s="1552"/>
      <c r="B22" s="1554"/>
      <c r="C22" s="1557" t="s">
        <v>947</v>
      </c>
      <c r="D22" s="408" t="s">
        <v>948</v>
      </c>
      <c r="E22" s="375" t="s">
        <v>889</v>
      </c>
      <c r="F22" s="376" t="s">
        <v>881</v>
      </c>
      <c r="G22" s="455">
        <v>46.9</v>
      </c>
      <c r="H22" s="409">
        <v>50.2</v>
      </c>
      <c r="I22" s="410">
        <v>47.7</v>
      </c>
      <c r="J22" s="404">
        <v>48.55</v>
      </c>
      <c r="K22" s="411">
        <v>49.37</v>
      </c>
      <c r="L22" s="410"/>
      <c r="M22" s="382"/>
      <c r="N22" s="383"/>
      <c r="O22" s="384"/>
      <c r="P22" s="404" t="e">
        <f>Tabla1[[#This Row],[Avance 1 trimestre ]]+Tabla1[[#This Row],[Avance  trimestre 2]]+Tabla1[[#This Row],[Avance  trimestre 3]]+Tabla1[[#This Row],[Avance  trimestre 4]]</f>
        <v>#REF!</v>
      </c>
      <c r="Q22" s="404"/>
      <c r="R22" s="404"/>
      <c r="S22" s="404"/>
      <c r="T22" s="404"/>
      <c r="U22" s="404">
        <f>'PLAN ESTRATEGICO'!M23</f>
        <v>0</v>
      </c>
      <c r="V22" s="404"/>
      <c r="W22" s="404"/>
      <c r="X22" s="404">
        <f>'PLAN ESTRATEGICO'!N23</f>
        <v>0</v>
      </c>
      <c r="Y22" s="409" t="e">
        <f>#REF!/#REF!</f>
        <v>#REF!</v>
      </c>
      <c r="Z22" s="409"/>
      <c r="AA22" s="409" t="e">
        <f>Tabla1[[#This Row],[Proyectado  trimestre 4]]/#REF!</f>
        <v>#REF!</v>
      </c>
      <c r="AB22" s="412"/>
      <c r="AC22" s="409"/>
      <c r="AD22" s="386" t="s">
        <v>949</v>
      </c>
      <c r="AE22" s="375" t="s">
        <v>883</v>
      </c>
      <c r="AF22" s="387" t="s">
        <v>890</v>
      </c>
      <c r="AG22" s="387" t="s">
        <v>945</v>
      </c>
      <c r="AH22" s="387" t="s">
        <v>892</v>
      </c>
      <c r="AI22" s="420" t="s">
        <v>946</v>
      </c>
      <c r="AJ22" s="373"/>
      <c r="AK22" s="389"/>
      <c r="AL22" s="373" t="e">
        <f>Tabla1[[#This Row],[Alcanzado  2015]]+Tabla1[[#This Row],[Alcanzado  2016]]+Tabla1[[#This Row],[Alcanzado  2017]]+Tabla1[[#This Row],[Avance 2018]]</f>
        <v>#REF!</v>
      </c>
      <c r="AM22" s="373"/>
      <c r="AN22" s="570" t="e">
        <f>Tabla1[[#This Row],[META 2018]]-AL22</f>
        <v>#REF!</v>
      </c>
    </row>
    <row r="23" spans="1:40" s="357" customFormat="1" ht="47.25" hidden="1" customHeight="1" x14ac:dyDescent="0.2">
      <c r="A23" s="1552"/>
      <c r="B23" s="1554"/>
      <c r="C23" s="1557"/>
      <c r="D23" s="408" t="s">
        <v>950</v>
      </c>
      <c r="E23" s="375" t="s">
        <v>889</v>
      </c>
      <c r="F23" s="376" t="s">
        <v>881</v>
      </c>
      <c r="G23" s="455">
        <v>34.6</v>
      </c>
      <c r="H23" s="430" t="s">
        <v>951</v>
      </c>
      <c r="I23" s="456" t="s">
        <v>952</v>
      </c>
      <c r="J23" s="457" t="s">
        <v>953</v>
      </c>
      <c r="K23" s="458" t="s">
        <v>954</v>
      </c>
      <c r="L23" s="456"/>
      <c r="M23" s="459"/>
      <c r="N23" s="383"/>
      <c r="O23" s="460"/>
      <c r="P23" s="457" t="e">
        <f>Tabla1[[#This Row],[Avance 1 trimestre ]]+Tabla1[[#This Row],[Avance  trimestre 2]]+Tabla1[[#This Row],[Avance  trimestre 3]]+Tabla1[[#This Row],[Avance  trimestre 4]]</f>
        <v>#REF!</v>
      </c>
      <c r="Q23" s="457"/>
      <c r="R23" s="457"/>
      <c r="S23" s="457"/>
      <c r="T23" s="457"/>
      <c r="U23" s="457">
        <f>'PLAN ESTRATEGICO'!M24</f>
        <v>0</v>
      </c>
      <c r="V23" s="457"/>
      <c r="W23" s="457"/>
      <c r="X23" s="457">
        <f>'PLAN ESTRATEGICO'!N24</f>
        <v>0</v>
      </c>
      <c r="Y23" s="430" t="e">
        <f>#REF!/#REF!</f>
        <v>#REF!</v>
      </c>
      <c r="Z23" s="430"/>
      <c r="AA23" s="430" t="e">
        <f>Tabla1[[#This Row],[Proyectado  trimestre 4]]/#REF!</f>
        <v>#REF!</v>
      </c>
      <c r="AB23" s="461"/>
      <c r="AC23" s="430"/>
      <c r="AD23" s="386" t="s">
        <v>949</v>
      </c>
      <c r="AE23" s="375" t="s">
        <v>883</v>
      </c>
      <c r="AF23" s="387" t="s">
        <v>890</v>
      </c>
      <c r="AG23" s="387" t="s">
        <v>945</v>
      </c>
      <c r="AH23" s="387" t="s">
        <v>892</v>
      </c>
      <c r="AI23" s="420" t="s">
        <v>946</v>
      </c>
      <c r="AJ23" s="373"/>
      <c r="AK23" s="389"/>
      <c r="AL23" s="373" t="e">
        <f>Tabla1[[#This Row],[Alcanzado  2015]]+Tabla1[[#This Row],[Alcanzado  2016]]+Tabla1[[#This Row],[Alcanzado  2017]]+Tabla1[[#This Row],[Avance 2018]]</f>
        <v>#REF!</v>
      </c>
      <c r="AM23" s="373"/>
      <c r="AN23" s="570" t="e">
        <f>Tabla1[[#This Row],[META 2018]]-AL23</f>
        <v>#REF!</v>
      </c>
    </row>
    <row r="24" spans="1:40" s="357" customFormat="1" ht="65.25" hidden="1" customHeight="1" x14ac:dyDescent="0.2">
      <c r="A24" s="1552"/>
      <c r="B24" s="1554"/>
      <c r="C24" s="407" t="s">
        <v>955</v>
      </c>
      <c r="D24" s="408" t="s">
        <v>956</v>
      </c>
      <c r="E24" s="375" t="s">
        <v>889</v>
      </c>
      <c r="F24" s="376" t="s">
        <v>944</v>
      </c>
      <c r="G24" s="447">
        <v>15000</v>
      </c>
      <c r="H24" s="414">
        <v>100000</v>
      </c>
      <c r="I24" s="415">
        <v>35000</v>
      </c>
      <c r="J24" s="416">
        <v>55000</v>
      </c>
      <c r="K24" s="417">
        <v>75000</v>
      </c>
      <c r="L24" s="415"/>
      <c r="M24" s="382"/>
      <c r="N24" s="383"/>
      <c r="O24" s="384"/>
      <c r="P24" s="416" t="e">
        <f>Tabla1[[#This Row],[Avance 1 trimestre ]]+Tabla1[[#This Row],[Avance  trimestre 2]]+Tabla1[[#This Row],[Avance  trimestre 3]]+Tabla1[[#This Row],[Avance  trimestre 4]]</f>
        <v>#REF!</v>
      </c>
      <c r="Q24" s="416"/>
      <c r="R24" s="416"/>
      <c r="S24" s="416"/>
      <c r="T24" s="416"/>
      <c r="U24" s="416">
        <f>'PLAN ESTRATEGICO'!M25</f>
        <v>0</v>
      </c>
      <c r="V24" s="416"/>
      <c r="W24" s="416"/>
      <c r="X24" s="416">
        <f>'PLAN ESTRATEGICO'!N25</f>
        <v>0</v>
      </c>
      <c r="Y24" s="414" t="e">
        <f>#REF!/#REF!</f>
        <v>#REF!</v>
      </c>
      <c r="Z24" s="414"/>
      <c r="AA24" s="414" t="e">
        <f>Tabla1[[#This Row],[Proyectado  trimestre 4]]/#REF!</f>
        <v>#REF!</v>
      </c>
      <c r="AB24" s="419"/>
      <c r="AC24" s="414"/>
      <c r="AD24" s="386" t="s">
        <v>898</v>
      </c>
      <c r="AE24" s="375" t="s">
        <v>883</v>
      </c>
      <c r="AF24" s="387" t="s">
        <v>890</v>
      </c>
      <c r="AG24" s="387" t="s">
        <v>899</v>
      </c>
      <c r="AH24" s="387" t="s">
        <v>892</v>
      </c>
      <c r="AI24" s="420" t="s">
        <v>957</v>
      </c>
      <c r="AJ24" s="373"/>
      <c r="AK24" s="389"/>
      <c r="AL24" s="373" t="e">
        <f>Tabla1[[#This Row],[Alcanzado  2015]]+Tabla1[[#This Row],[Alcanzado  2016]]+Tabla1[[#This Row],[Alcanzado  2017]]+Tabla1[[#This Row],[Avance 2018]]</f>
        <v>#REF!</v>
      </c>
      <c r="AM24" s="373"/>
      <c r="AN24" s="570" t="e">
        <f>Tabla1[[#This Row],[META 2018]]-AL24</f>
        <v>#REF!</v>
      </c>
    </row>
    <row r="25" spans="1:40" s="357" customFormat="1" ht="57.75" hidden="1" customHeight="1" x14ac:dyDescent="0.2">
      <c r="A25" s="1552"/>
      <c r="B25" s="1554"/>
      <c r="C25" s="407" t="s">
        <v>958</v>
      </c>
      <c r="D25" s="408" t="s">
        <v>959</v>
      </c>
      <c r="E25" s="375" t="s">
        <v>889</v>
      </c>
      <c r="F25" s="376" t="s">
        <v>912</v>
      </c>
      <c r="G25" s="447">
        <v>1973082</v>
      </c>
      <c r="H25" s="414">
        <v>2300000</v>
      </c>
      <c r="I25" s="415">
        <v>2054811</v>
      </c>
      <c r="J25" s="416">
        <v>2136540</v>
      </c>
      <c r="K25" s="417">
        <v>2218269</v>
      </c>
      <c r="L25" s="415"/>
      <c r="M25" s="382"/>
      <c r="N25" s="383"/>
      <c r="O25" s="384"/>
      <c r="P25" s="416" t="e">
        <f>Tabla1[[#This Row],[Avance 1 trimestre ]]+Tabla1[[#This Row],[Avance  trimestre 2]]+Tabla1[[#This Row],[Avance  trimestre 3]]+Tabla1[[#This Row],[Avance  trimestre 4]]</f>
        <v>#REF!</v>
      </c>
      <c r="Q25" s="416"/>
      <c r="R25" s="416"/>
      <c r="S25" s="416"/>
      <c r="T25" s="416"/>
      <c r="U25" s="416">
        <f>'PLAN ESTRATEGICO'!M26</f>
        <v>0</v>
      </c>
      <c r="V25" s="416"/>
      <c r="W25" s="416"/>
      <c r="X25" s="416">
        <f>'PLAN ESTRATEGICO'!N26</f>
        <v>0</v>
      </c>
      <c r="Y25" s="414" t="e">
        <f>#REF!/#REF!</f>
        <v>#REF!</v>
      </c>
      <c r="Z25" s="414"/>
      <c r="AA25" s="414" t="e">
        <f>Tabla1[[#This Row],[Proyectado  trimestre 4]]/#REF!</f>
        <v>#REF!</v>
      </c>
      <c r="AB25" s="419"/>
      <c r="AC25" s="414"/>
      <c r="AD25" s="386" t="s">
        <v>949</v>
      </c>
      <c r="AE25" s="375" t="s">
        <v>883</v>
      </c>
      <c r="AF25" s="387" t="s">
        <v>890</v>
      </c>
      <c r="AG25" s="387" t="s">
        <v>960</v>
      </c>
      <c r="AH25" s="387" t="s">
        <v>892</v>
      </c>
      <c r="AI25" s="420" t="s">
        <v>961</v>
      </c>
      <c r="AJ25" s="373"/>
      <c r="AK25" s="389"/>
      <c r="AL25" s="373" t="e">
        <f>Tabla1[[#This Row],[Alcanzado  2015]]+Tabla1[[#This Row],[Alcanzado  2016]]+Tabla1[[#This Row],[Alcanzado  2017]]+Tabla1[[#This Row],[Avance 2018]]</f>
        <v>#REF!</v>
      </c>
      <c r="AM25" s="373"/>
      <c r="AN25" s="570" t="e">
        <f>Tabla1[[#This Row],[META 2018]]-AL25</f>
        <v>#REF!</v>
      </c>
    </row>
    <row r="26" spans="1:40" s="357" customFormat="1" ht="93.75" hidden="1" customHeight="1" x14ac:dyDescent="0.2">
      <c r="A26" s="1552"/>
      <c r="B26" s="1554"/>
      <c r="C26" s="421" t="s">
        <v>962</v>
      </c>
      <c r="D26" s="408" t="s">
        <v>963</v>
      </c>
      <c r="E26" s="375" t="s">
        <v>880</v>
      </c>
      <c r="F26" s="430" t="s">
        <v>912</v>
      </c>
      <c r="G26" s="424">
        <v>508968</v>
      </c>
      <c r="H26" s="424">
        <v>736756</v>
      </c>
      <c r="I26" s="425">
        <v>558276</v>
      </c>
      <c r="J26" s="426">
        <v>612360</v>
      </c>
      <c r="K26" s="427">
        <v>617684</v>
      </c>
      <c r="L26" s="425"/>
      <c r="M26" s="382"/>
      <c r="N26" s="383"/>
      <c r="O26" s="384"/>
      <c r="P26" s="426" t="e">
        <f>Tabla1[[#This Row],[Avance 1 trimestre ]]+Tabla1[[#This Row],[Avance  trimestre 2]]+Tabla1[[#This Row],[Avance  trimestre 3]]+Tabla1[[#This Row],[Avance  trimestre 4]]</f>
        <v>#REF!</v>
      </c>
      <c r="Q26" s="426"/>
      <c r="R26" s="426"/>
      <c r="S26" s="426"/>
      <c r="T26" s="426"/>
      <c r="U26" s="426">
        <f>'PLAN ESTRATEGICO'!M27</f>
        <v>0</v>
      </c>
      <c r="V26" s="426"/>
      <c r="W26" s="426"/>
      <c r="X26" s="426">
        <f>'PLAN ESTRATEGICO'!N27</f>
        <v>0</v>
      </c>
      <c r="Y26" s="424" t="e">
        <f>#REF!/#REF!</f>
        <v>#REF!</v>
      </c>
      <c r="Z26" s="424"/>
      <c r="AA26" s="424" t="e">
        <f>Tabla1[[#This Row],[Proyectado  trimestre 4]]/#REF!</f>
        <v>#REF!</v>
      </c>
      <c r="AB26" s="429"/>
      <c r="AC26" s="424"/>
      <c r="AD26" s="386" t="s">
        <v>949</v>
      </c>
      <c r="AE26" s="375" t="s">
        <v>883</v>
      </c>
      <c r="AF26" s="375" t="s">
        <v>890</v>
      </c>
      <c r="AG26" s="375" t="s">
        <v>964</v>
      </c>
      <c r="AH26" s="375" t="s">
        <v>965</v>
      </c>
      <c r="AI26" s="413" t="s">
        <v>965</v>
      </c>
      <c r="AJ26" s="373"/>
      <c r="AK26" s="389"/>
      <c r="AL26" s="373" t="e">
        <f>Tabla1[[#This Row],[Alcanzado  2015]]+Tabla1[[#This Row],[Alcanzado  2016]]+Tabla1[[#This Row],[Alcanzado  2017]]+Tabla1[[#This Row],[Avance 2018]]</f>
        <v>#REF!</v>
      </c>
      <c r="AM26" s="373"/>
      <c r="AN26" s="570" t="e">
        <f>Tabla1[[#This Row],[META 2018]]-AL26</f>
        <v>#REF!</v>
      </c>
    </row>
    <row r="27" spans="1:40" s="357" customFormat="1" ht="60" hidden="1" customHeight="1" x14ac:dyDescent="0.2">
      <c r="A27" s="1552"/>
      <c r="B27" s="1554"/>
      <c r="C27" s="1558" t="s">
        <v>966</v>
      </c>
      <c r="D27" s="408" t="s">
        <v>967</v>
      </c>
      <c r="E27" s="375" t="s">
        <v>880</v>
      </c>
      <c r="F27" s="462" t="s">
        <v>968</v>
      </c>
      <c r="G27" s="424">
        <v>65912</v>
      </c>
      <c r="H27" s="424">
        <v>355883</v>
      </c>
      <c r="I27" s="425">
        <v>78597</v>
      </c>
      <c r="J27" s="426">
        <v>85270</v>
      </c>
      <c r="K27" s="427">
        <v>92417</v>
      </c>
      <c r="L27" s="425"/>
      <c r="M27" s="382"/>
      <c r="N27" s="383"/>
      <c r="O27" s="384"/>
      <c r="P27" s="426" t="e">
        <f>Tabla1[[#This Row],[Avance 1 trimestre ]]+Tabla1[[#This Row],[Avance  trimestre 2]]+Tabla1[[#This Row],[Avance  trimestre 3]]+Tabla1[[#This Row],[Avance  trimestre 4]]</f>
        <v>#REF!</v>
      </c>
      <c r="Q27" s="426"/>
      <c r="R27" s="426"/>
      <c r="S27" s="426"/>
      <c r="T27" s="426"/>
      <c r="U27" s="426">
        <f>'PLAN ESTRATEGICO'!M28</f>
        <v>0</v>
      </c>
      <c r="V27" s="426"/>
      <c r="W27" s="426"/>
      <c r="X27" s="426">
        <f>'PLAN ESTRATEGICO'!N28</f>
        <v>0</v>
      </c>
      <c r="Y27" s="424" t="e">
        <f>#REF!/#REF!</f>
        <v>#REF!</v>
      </c>
      <c r="Z27" s="424"/>
      <c r="AA27" s="424" t="e">
        <f>Tabla1[[#This Row],[Proyectado  trimestre 4]]/#REF!</f>
        <v>#REF!</v>
      </c>
      <c r="AB27" s="429"/>
      <c r="AC27" s="424"/>
      <c r="AD27" s="374" t="s">
        <v>898</v>
      </c>
      <c r="AE27" s="375" t="s">
        <v>969</v>
      </c>
      <c r="AF27" s="375" t="s">
        <v>890</v>
      </c>
      <c r="AG27" s="375" t="s">
        <v>970</v>
      </c>
      <c r="AH27" s="375" t="s">
        <v>914</v>
      </c>
      <c r="AI27" s="413" t="s">
        <v>914</v>
      </c>
      <c r="AJ27" s="373"/>
      <c r="AK27" s="389"/>
      <c r="AL27" s="373" t="e">
        <f>Tabla1[[#This Row],[Alcanzado  2015]]+Tabla1[[#This Row],[Alcanzado  2016]]+Tabla1[[#This Row],[Alcanzado  2017]]+Tabla1[[#This Row],[Avance 2018]]</f>
        <v>#REF!</v>
      </c>
      <c r="AM27" s="373"/>
      <c r="AN27" s="570" t="e">
        <f>Tabla1[[#This Row],[META 2018]]-AL27</f>
        <v>#REF!</v>
      </c>
    </row>
    <row r="28" spans="1:40" s="357" customFormat="1" ht="60" hidden="1" customHeight="1" x14ac:dyDescent="0.2">
      <c r="A28" s="1552"/>
      <c r="B28" s="1554"/>
      <c r="C28" s="1558"/>
      <c r="D28" s="408" t="s">
        <v>971</v>
      </c>
      <c r="E28" s="375" t="s">
        <v>880</v>
      </c>
      <c r="F28" s="462" t="s">
        <v>968</v>
      </c>
      <c r="G28" s="463">
        <v>208719</v>
      </c>
      <c r="H28" s="424">
        <v>1073134</v>
      </c>
      <c r="I28" s="425">
        <v>246709</v>
      </c>
      <c r="J28" s="426">
        <v>260397</v>
      </c>
      <c r="K28" s="427">
        <v>275439</v>
      </c>
      <c r="L28" s="425"/>
      <c r="M28" s="382"/>
      <c r="N28" s="383"/>
      <c r="O28" s="384"/>
      <c r="P28" s="426" t="e">
        <f>Tabla1[[#This Row],[Avance 1 trimestre ]]+Tabla1[[#This Row],[Avance  trimestre 2]]+Tabla1[[#This Row],[Avance  trimestre 3]]+Tabla1[[#This Row],[Avance  trimestre 4]]</f>
        <v>#REF!</v>
      </c>
      <c r="Q28" s="426"/>
      <c r="R28" s="426"/>
      <c r="S28" s="426"/>
      <c r="T28" s="426"/>
      <c r="U28" s="426">
        <f>'PLAN ESTRATEGICO'!M29</f>
        <v>0</v>
      </c>
      <c r="V28" s="426"/>
      <c r="W28" s="426"/>
      <c r="X28" s="426">
        <f>'PLAN ESTRATEGICO'!N29</f>
        <v>0</v>
      </c>
      <c r="Y28" s="424" t="e">
        <f>#REF!/#REF!</f>
        <v>#REF!</v>
      </c>
      <c r="Z28" s="424"/>
      <c r="AA28" s="424" t="e">
        <f>Tabla1[[#This Row],[Proyectado  trimestre 4]]/#REF!</f>
        <v>#REF!</v>
      </c>
      <c r="AB28" s="429"/>
      <c r="AC28" s="424"/>
      <c r="AD28" s="374" t="s">
        <v>898</v>
      </c>
      <c r="AE28" s="375" t="s">
        <v>969</v>
      </c>
      <c r="AF28" s="375" t="s">
        <v>890</v>
      </c>
      <c r="AG28" s="375" t="s">
        <v>970</v>
      </c>
      <c r="AH28" s="375" t="s">
        <v>914</v>
      </c>
      <c r="AI28" s="420" t="s">
        <v>914</v>
      </c>
      <c r="AJ28" s="373"/>
      <c r="AK28" s="389"/>
      <c r="AL28" s="373" t="e">
        <f>Tabla1[[#This Row],[Alcanzado  2015]]+Tabla1[[#This Row],[Alcanzado  2016]]+Tabla1[[#This Row],[Alcanzado  2017]]+Tabla1[[#This Row],[Avance 2018]]</f>
        <v>#REF!</v>
      </c>
      <c r="AM28" s="373"/>
      <c r="AN28" s="570" t="e">
        <f>Tabla1[[#This Row],[META 2018]]-AL28</f>
        <v>#REF!</v>
      </c>
    </row>
    <row r="29" spans="1:40" s="357" customFormat="1" ht="60" hidden="1" customHeight="1" x14ac:dyDescent="0.2">
      <c r="A29" s="1552"/>
      <c r="B29" s="1554"/>
      <c r="C29" s="1558"/>
      <c r="D29" s="408" t="s">
        <v>972</v>
      </c>
      <c r="E29" s="375" t="s">
        <v>880</v>
      </c>
      <c r="F29" s="462" t="s">
        <v>968</v>
      </c>
      <c r="G29" s="463">
        <v>4347431</v>
      </c>
      <c r="H29" s="424">
        <v>17532366</v>
      </c>
      <c r="I29" s="425">
        <v>4069109</v>
      </c>
      <c r="J29" s="426">
        <v>4265390</v>
      </c>
      <c r="K29" s="427">
        <v>4485741</v>
      </c>
      <c r="L29" s="425"/>
      <c r="M29" s="382"/>
      <c r="N29" s="383"/>
      <c r="O29" s="384"/>
      <c r="P29" s="426" t="e">
        <f>Tabla1[[#This Row],[Avance 1 trimestre ]]+Tabla1[[#This Row],[Avance  trimestre 2]]+Tabla1[[#This Row],[Avance  trimestre 3]]+Tabla1[[#This Row],[Avance  trimestre 4]]</f>
        <v>#REF!</v>
      </c>
      <c r="Q29" s="426"/>
      <c r="R29" s="426"/>
      <c r="S29" s="426"/>
      <c r="T29" s="426"/>
      <c r="U29" s="426">
        <f>'PLAN ESTRATEGICO'!M30</f>
        <v>0</v>
      </c>
      <c r="V29" s="426"/>
      <c r="W29" s="426"/>
      <c r="X29" s="426">
        <f>'PLAN ESTRATEGICO'!N30</f>
        <v>0</v>
      </c>
      <c r="Y29" s="424" t="e">
        <f>#REF!/#REF!</f>
        <v>#REF!</v>
      </c>
      <c r="Z29" s="424"/>
      <c r="AA29" s="424" t="e">
        <f>Tabla1[[#This Row],[Proyectado  trimestre 4]]/#REF!</f>
        <v>#REF!</v>
      </c>
      <c r="AB29" s="429"/>
      <c r="AC29" s="424"/>
      <c r="AD29" s="374" t="s">
        <v>898</v>
      </c>
      <c r="AE29" s="375" t="s">
        <v>969</v>
      </c>
      <c r="AF29" s="375" t="s">
        <v>890</v>
      </c>
      <c r="AG29" s="375" t="s">
        <v>970</v>
      </c>
      <c r="AH29" s="375" t="s">
        <v>914</v>
      </c>
      <c r="AI29" s="413" t="s">
        <v>914</v>
      </c>
      <c r="AJ29" s="373"/>
      <c r="AK29" s="389"/>
      <c r="AL29" s="373" t="e">
        <f>Tabla1[[#This Row],[Alcanzado  2015]]+Tabla1[[#This Row],[Alcanzado  2016]]+Tabla1[[#This Row],[Alcanzado  2017]]+Tabla1[[#This Row],[Avance 2018]]</f>
        <v>#REF!</v>
      </c>
      <c r="AM29" s="373"/>
      <c r="AN29" s="570" t="e">
        <f>Tabla1[[#This Row],[META 2018]]-AL29</f>
        <v>#REF!</v>
      </c>
    </row>
    <row r="30" spans="1:40" s="357" customFormat="1" ht="64.5" hidden="1" customHeight="1" x14ac:dyDescent="0.2">
      <c r="A30" s="1552"/>
      <c r="B30" s="1554"/>
      <c r="C30" s="1558"/>
      <c r="D30" s="408" t="s">
        <v>973</v>
      </c>
      <c r="E30" s="375" t="s">
        <v>889</v>
      </c>
      <c r="F30" s="462" t="s">
        <v>912</v>
      </c>
      <c r="G30" s="463">
        <v>4622062</v>
      </c>
      <c r="H30" s="424">
        <v>18961383</v>
      </c>
      <c r="I30" s="425">
        <v>4394415</v>
      </c>
      <c r="J30" s="426">
        <v>4611057</v>
      </c>
      <c r="K30" s="427">
        <v>4853597</v>
      </c>
      <c r="L30" s="425"/>
      <c r="M30" s="382"/>
      <c r="N30" s="383"/>
      <c r="O30" s="384"/>
      <c r="P30" s="426" t="e">
        <f>Tabla1[[#This Row],[Avance 1 trimestre ]]+Tabla1[[#This Row],[Avance  trimestre 2]]+Tabla1[[#This Row],[Avance  trimestre 3]]+Tabla1[[#This Row],[Avance  trimestre 4]]</f>
        <v>#REF!</v>
      </c>
      <c r="Q30" s="426"/>
      <c r="R30" s="426"/>
      <c r="S30" s="426"/>
      <c r="T30" s="426"/>
      <c r="U30" s="426">
        <f>'PLAN ESTRATEGICO'!M31</f>
        <v>0</v>
      </c>
      <c r="V30" s="426"/>
      <c r="W30" s="426"/>
      <c r="X30" s="426">
        <f>'PLAN ESTRATEGICO'!N31</f>
        <v>0</v>
      </c>
      <c r="Y30" s="424" t="e">
        <f>#REF!/#REF!</f>
        <v>#REF!</v>
      </c>
      <c r="Z30" s="424"/>
      <c r="AA30" s="424" t="e">
        <f>Tabla1[[#This Row],[Proyectado  trimestre 4]]/#REF!</f>
        <v>#REF!</v>
      </c>
      <c r="AB30" s="429"/>
      <c r="AC30" s="424"/>
      <c r="AD30" s="374" t="s">
        <v>898</v>
      </c>
      <c r="AE30" s="375" t="s">
        <v>969</v>
      </c>
      <c r="AF30" s="375" t="s">
        <v>890</v>
      </c>
      <c r="AG30" s="375" t="s">
        <v>970</v>
      </c>
      <c r="AH30" s="375" t="s">
        <v>914</v>
      </c>
      <c r="AI30" s="413" t="s">
        <v>914</v>
      </c>
      <c r="AJ30" s="373"/>
      <c r="AK30" s="389"/>
      <c r="AL30" s="373" t="e">
        <f>Tabla1[[#This Row],[Alcanzado  2015]]+Tabla1[[#This Row],[Alcanzado  2016]]+Tabla1[[#This Row],[Alcanzado  2017]]+Tabla1[[#This Row],[Avance 2018]]</f>
        <v>#REF!</v>
      </c>
      <c r="AM30" s="373"/>
      <c r="AN30" s="570" t="e">
        <f>Tabla1[[#This Row],[META 2018]]-AL30</f>
        <v>#REF!</v>
      </c>
    </row>
    <row r="31" spans="1:40" s="357" customFormat="1" ht="90" hidden="1" customHeight="1" x14ac:dyDescent="0.2">
      <c r="A31" s="1552"/>
      <c r="B31" s="1554"/>
      <c r="C31" s="1558"/>
      <c r="D31" s="408" t="s">
        <v>974</v>
      </c>
      <c r="E31" s="375" t="s">
        <v>880</v>
      </c>
      <c r="F31" s="462" t="s">
        <v>968</v>
      </c>
      <c r="G31" s="414">
        <v>80</v>
      </c>
      <c r="H31" s="414">
        <v>400</v>
      </c>
      <c r="I31" s="425">
        <v>150</v>
      </c>
      <c r="J31" s="426">
        <v>100</v>
      </c>
      <c r="K31" s="427">
        <v>80</v>
      </c>
      <c r="L31" s="425"/>
      <c r="M31" s="382"/>
      <c r="N31" s="383"/>
      <c r="O31" s="384"/>
      <c r="P31" s="426" t="e">
        <f>Tabla1[[#This Row],[Avance 1 trimestre ]]+Tabla1[[#This Row],[Avance  trimestre 2]]+Tabla1[[#This Row],[Avance  trimestre 3]]+Tabla1[[#This Row],[Avance  trimestre 4]]</f>
        <v>#REF!</v>
      </c>
      <c r="Q31" s="426"/>
      <c r="R31" s="426"/>
      <c r="S31" s="426"/>
      <c r="T31" s="426"/>
      <c r="U31" s="426">
        <f>'PLAN ESTRATEGICO'!M32</f>
        <v>0</v>
      </c>
      <c r="V31" s="426"/>
      <c r="W31" s="426"/>
      <c r="X31" s="426">
        <f>'PLAN ESTRATEGICO'!N32</f>
        <v>0</v>
      </c>
      <c r="Y31" s="424" t="e">
        <f>#REF!/#REF!</f>
        <v>#REF!</v>
      </c>
      <c r="Z31" s="424"/>
      <c r="AA31" s="424" t="e">
        <f>Tabla1[[#This Row],[Proyectado  trimestre 4]]/#REF!</f>
        <v>#REF!</v>
      </c>
      <c r="AB31" s="429"/>
      <c r="AC31" s="424"/>
      <c r="AD31" s="374" t="s">
        <v>898</v>
      </c>
      <c r="AE31" s="375" t="s">
        <v>969</v>
      </c>
      <c r="AF31" s="375" t="s">
        <v>890</v>
      </c>
      <c r="AG31" s="375" t="s">
        <v>970</v>
      </c>
      <c r="AH31" s="375" t="s">
        <v>914</v>
      </c>
      <c r="AI31" s="413" t="s">
        <v>914</v>
      </c>
      <c r="AJ31" s="373"/>
      <c r="AK31" s="389"/>
      <c r="AL31" s="373" t="e">
        <f>Tabla1[[#This Row],[Alcanzado  2015]]+Tabla1[[#This Row],[Alcanzado  2016]]+Tabla1[[#This Row],[Alcanzado  2017]]+Tabla1[[#This Row],[Avance 2018]]</f>
        <v>#REF!</v>
      </c>
      <c r="AM31" s="373"/>
      <c r="AN31" s="570" t="e">
        <f>Tabla1[[#This Row],[META 2018]]-AL31</f>
        <v>#REF!</v>
      </c>
    </row>
    <row r="32" spans="1:40" s="357" customFormat="1" ht="107.25" hidden="1" customHeight="1" x14ac:dyDescent="0.2">
      <c r="A32" s="1552"/>
      <c r="B32" s="1554"/>
      <c r="C32" s="421" t="s">
        <v>975</v>
      </c>
      <c r="D32" s="408" t="s">
        <v>976</v>
      </c>
      <c r="E32" s="375" t="s">
        <v>880</v>
      </c>
      <c r="F32" s="462" t="s">
        <v>968</v>
      </c>
      <c r="G32" s="414">
        <v>450</v>
      </c>
      <c r="H32" s="414">
        <v>2233</v>
      </c>
      <c r="I32" s="425">
        <v>673</v>
      </c>
      <c r="J32" s="426">
        <v>474</v>
      </c>
      <c r="K32" s="427">
        <v>569</v>
      </c>
      <c r="L32" s="425"/>
      <c r="M32" s="382"/>
      <c r="N32" s="383"/>
      <c r="O32" s="384"/>
      <c r="P32" s="426" t="e">
        <f>Tabla1[[#This Row],[Avance 1 trimestre ]]+Tabla1[[#This Row],[Avance  trimestre 2]]+Tabla1[[#This Row],[Avance  trimestre 3]]+Tabla1[[#This Row],[Avance  trimestre 4]]</f>
        <v>#REF!</v>
      </c>
      <c r="Q32" s="426"/>
      <c r="R32" s="426"/>
      <c r="S32" s="426"/>
      <c r="T32" s="426"/>
      <c r="U32" s="426">
        <f>'PLAN ESTRATEGICO'!M33</f>
        <v>0</v>
      </c>
      <c r="V32" s="426"/>
      <c r="W32" s="426"/>
      <c r="X32" s="426">
        <f>'PLAN ESTRATEGICO'!N33</f>
        <v>0</v>
      </c>
      <c r="Y32" s="424" t="e">
        <f>#REF!/#REF!</f>
        <v>#REF!</v>
      </c>
      <c r="Z32" s="424"/>
      <c r="AA32" s="424" t="e">
        <f>Tabla1[[#This Row],[Proyectado  trimestre 4]]/#REF!</f>
        <v>#REF!</v>
      </c>
      <c r="AB32" s="429"/>
      <c r="AC32" s="424"/>
      <c r="AD32" s="374" t="s">
        <v>898</v>
      </c>
      <c r="AE32" s="375" t="s">
        <v>969</v>
      </c>
      <c r="AF32" s="375" t="s">
        <v>890</v>
      </c>
      <c r="AG32" s="375" t="s">
        <v>977</v>
      </c>
      <c r="AH32" s="375" t="s">
        <v>914</v>
      </c>
      <c r="AI32" s="413" t="s">
        <v>914</v>
      </c>
      <c r="AJ32" s="373"/>
      <c r="AK32" s="389"/>
      <c r="AL32" s="373" t="e">
        <f>Tabla1[[#This Row],[Alcanzado  2015]]+Tabla1[[#This Row],[Alcanzado  2016]]+Tabla1[[#This Row],[Alcanzado  2017]]+Tabla1[[#This Row],[Avance 2018]]</f>
        <v>#REF!</v>
      </c>
      <c r="AM32" s="373"/>
      <c r="AN32" s="570" t="e">
        <f>Tabla1[[#This Row],[META 2018]]-AL32</f>
        <v>#REF!</v>
      </c>
    </row>
    <row r="33" spans="1:40" s="357" customFormat="1" ht="96.75" hidden="1" customHeight="1" x14ac:dyDescent="0.2">
      <c r="A33" s="1552"/>
      <c r="B33" s="1554"/>
      <c r="C33" s="421" t="s">
        <v>978</v>
      </c>
      <c r="D33" s="408" t="s">
        <v>979</v>
      </c>
      <c r="E33" s="375" t="s">
        <v>880</v>
      </c>
      <c r="F33" s="462" t="s">
        <v>968</v>
      </c>
      <c r="G33" s="447">
        <v>45000</v>
      </c>
      <c r="H33" s="414">
        <v>511826</v>
      </c>
      <c r="I33" s="425">
        <v>122340</v>
      </c>
      <c r="J33" s="426">
        <v>126014</v>
      </c>
      <c r="K33" s="427">
        <v>129789</v>
      </c>
      <c r="L33" s="425"/>
      <c r="M33" s="382"/>
      <c r="N33" s="383"/>
      <c r="O33" s="384"/>
      <c r="P33" s="449" t="e">
        <f>Tabla1[[#This Row],[Avance 1 trimestre ]]+Tabla1[[#This Row],[Avance  trimestre 2]]+Tabla1[[#This Row],[Avance  trimestre 3]]+Tabla1[[#This Row],[Avance  trimestre 4]]</f>
        <v>#REF!</v>
      </c>
      <c r="Q33" s="426"/>
      <c r="R33" s="426"/>
      <c r="S33" s="426"/>
      <c r="T33" s="426"/>
      <c r="U33" s="426">
        <f>'PLAN ESTRATEGICO'!M34</f>
        <v>0</v>
      </c>
      <c r="V33" s="426"/>
      <c r="W33" s="426"/>
      <c r="X33" s="426">
        <f>'PLAN ESTRATEGICO'!N34</f>
        <v>0</v>
      </c>
      <c r="Y33" s="424" t="e">
        <f>#REF!/#REF!</f>
        <v>#REF!</v>
      </c>
      <c r="Z33" s="424"/>
      <c r="AA33" s="424" t="e">
        <f>Tabla1[[#This Row],[Proyectado  trimestre 4]]/#REF!</f>
        <v>#REF!</v>
      </c>
      <c r="AB33" s="464"/>
      <c r="AC33" s="424"/>
      <c r="AD33" s="374" t="s">
        <v>898</v>
      </c>
      <c r="AE33" s="375" t="s">
        <v>969</v>
      </c>
      <c r="AF33" s="375" t="s">
        <v>890</v>
      </c>
      <c r="AG33" s="375" t="s">
        <v>970</v>
      </c>
      <c r="AH33" s="375" t="s">
        <v>914</v>
      </c>
      <c r="AI33" s="413" t="s">
        <v>914</v>
      </c>
      <c r="AJ33" s="373"/>
      <c r="AK33" s="389"/>
      <c r="AL33" s="373" t="e">
        <f>Tabla1[[#This Row],[Alcanzado  2015]]+Tabla1[[#This Row],[Alcanzado  2016]]+Tabla1[[#This Row],[Alcanzado  2017]]+Tabla1[[#This Row],[Avance 2018]]</f>
        <v>#REF!</v>
      </c>
      <c r="AM33" s="373"/>
      <c r="AN33" s="570" t="e">
        <f>Tabla1[[#This Row],[META 2018]]-AL33</f>
        <v>#REF!</v>
      </c>
    </row>
    <row r="34" spans="1:40" s="357" customFormat="1" ht="100.5" customHeight="1" x14ac:dyDescent="0.2">
      <c r="A34" s="1552"/>
      <c r="B34" s="1554"/>
      <c r="C34" s="1559" t="s">
        <v>980</v>
      </c>
      <c r="D34" s="408" t="s">
        <v>981</v>
      </c>
      <c r="E34" s="375" t="s">
        <v>880</v>
      </c>
      <c r="F34" s="519" t="s">
        <v>968</v>
      </c>
      <c r="G34" s="520">
        <v>0</v>
      </c>
      <c r="H34" s="521">
        <v>7</v>
      </c>
      <c r="I34" s="425">
        <v>1700</v>
      </c>
      <c r="J34" s="426">
        <v>3400</v>
      </c>
      <c r="K34" s="427">
        <v>5100</v>
      </c>
      <c r="L34" s="425">
        <v>7917</v>
      </c>
      <c r="M34" s="382">
        <f>'PLAN ESTRATEGICO'!Q12</f>
        <v>5382</v>
      </c>
      <c r="N34" s="382">
        <f>'PLAN ESTRATEGICO'!R12</f>
        <v>4625</v>
      </c>
      <c r="O34" s="382">
        <f>'PLAN ESTRATEGICO'!S12</f>
        <v>10286</v>
      </c>
      <c r="P34" s="613">
        <f>Tabla1[[#This Row],[Avance 1 trimestre ]]+Tabla1[[#This Row],[Avance  trimestre 2]]+Tabla1[[#This Row],[Avance  trimestre 3]]+Tabla1[[#This Row],[Avance  trimestre 4]]</f>
        <v>0</v>
      </c>
      <c r="Q34" s="577"/>
      <c r="R34" s="577">
        <f>'PLAN ESTRATEGICO'!L12</f>
        <v>0</v>
      </c>
      <c r="S34" s="577"/>
      <c r="T34" s="465"/>
      <c r="U34" s="465">
        <f>'PLAN ESTRATEGICO'!M12</f>
        <v>0</v>
      </c>
      <c r="V34" s="465"/>
      <c r="W34" s="466">
        <v>3500</v>
      </c>
      <c r="X34" s="466">
        <f>'PLAN ESTRATEGICO'!N12</f>
        <v>0</v>
      </c>
      <c r="Y34" s="444"/>
      <c r="Z34" s="578">
        <v>7917</v>
      </c>
      <c r="AA34" s="505">
        <f>'PLAN ESTRATEGICO'!O12</f>
        <v>0</v>
      </c>
      <c r="AB34" s="467"/>
      <c r="AC34" s="429"/>
      <c r="AD34" s="374" t="s">
        <v>898</v>
      </c>
      <c r="AE34" s="387" t="s">
        <v>883</v>
      </c>
      <c r="AF34" s="387" t="s">
        <v>890</v>
      </c>
      <c r="AG34" s="387" t="s">
        <v>982</v>
      </c>
      <c r="AH34" s="387" t="s">
        <v>886</v>
      </c>
      <c r="AI34" s="388" t="s">
        <v>886</v>
      </c>
      <c r="AJ34" s="373"/>
      <c r="AK34" s="389"/>
      <c r="AL34" s="373">
        <f>Tabla1[[#This Row],[Alcanzado  2015]]+Tabla1[[#This Row],[Alcanzado  2016]]+Tabla1[[#This Row],[Alcanzado  2017]]+Tabla1[[#This Row],[Avance 2018]]</f>
        <v>20293</v>
      </c>
      <c r="AM34" s="373"/>
      <c r="AN34" s="570">
        <f>Tabla1[[#This Row],[META 2018]]-AL34</f>
        <v>-12376</v>
      </c>
    </row>
    <row r="35" spans="1:40" s="357" customFormat="1" ht="100.5" customHeight="1" x14ac:dyDescent="0.2">
      <c r="A35" s="1552"/>
      <c r="B35" s="1554"/>
      <c r="C35" s="1559"/>
      <c r="D35" s="408" t="s">
        <v>983</v>
      </c>
      <c r="E35" s="375" t="s">
        <v>880</v>
      </c>
      <c r="F35" s="522" t="s">
        <v>968</v>
      </c>
      <c r="G35" s="521">
        <v>130443</v>
      </c>
      <c r="H35" s="521">
        <v>230443</v>
      </c>
      <c r="I35" s="415">
        <v>155443</v>
      </c>
      <c r="J35" s="416">
        <v>180443</v>
      </c>
      <c r="K35" s="417">
        <v>205443</v>
      </c>
      <c r="L35" s="415">
        <v>230443</v>
      </c>
      <c r="M35" s="382">
        <f>'Perso cap'!L20</f>
        <v>158183</v>
      </c>
      <c r="N35" s="382">
        <f>'Perso cap'!M20</f>
        <v>186978</v>
      </c>
      <c r="O35" s="382">
        <f>'Perso cap'!N20</f>
        <v>214100</v>
      </c>
      <c r="P35" s="613">
        <f>Tabla1[[#This Row],[Avance 1 trimestre ]]+Tabla1[[#This Row],[Avance  trimestre 2]]+Tabla1[[#This Row],[Avance  trimestre 3]]+Tabla1[[#This Row],[Avance  trimestre 4]]</f>
        <v>214100</v>
      </c>
      <c r="Q35" s="468"/>
      <c r="R35" s="468">
        <f>Tabla1[[#This Row],[Alcanzado  2017]]</f>
        <v>214100</v>
      </c>
      <c r="S35" s="468"/>
      <c r="T35" s="469"/>
      <c r="U35" s="469">
        <v>0</v>
      </c>
      <c r="V35" s="469"/>
      <c r="W35" s="470">
        <v>224100</v>
      </c>
      <c r="X35" s="470">
        <v>0</v>
      </c>
      <c r="Y35" s="444"/>
      <c r="Z35" s="579">
        <v>230443</v>
      </c>
      <c r="AA35" s="505">
        <v>0</v>
      </c>
      <c r="AB35" s="467"/>
      <c r="AC35" s="419"/>
      <c r="AD35" s="374" t="s">
        <v>898</v>
      </c>
      <c r="AE35" s="387" t="s">
        <v>883</v>
      </c>
      <c r="AF35" s="387" t="s">
        <v>890</v>
      </c>
      <c r="AG35" s="387" t="s">
        <v>982</v>
      </c>
      <c r="AH35" s="387" t="s">
        <v>886</v>
      </c>
      <c r="AI35" s="388" t="s">
        <v>886</v>
      </c>
      <c r="AJ35" s="373"/>
      <c r="AK35" s="389"/>
      <c r="AL35" s="373">
        <f>Tabla1[[#This Row],[Avance 2018]]</f>
        <v>214100</v>
      </c>
      <c r="AM35" s="373"/>
      <c r="AN35" s="570">
        <f>Tabla1[[#This Row],[META 2018]]-AL35</f>
        <v>16343</v>
      </c>
    </row>
    <row r="36" spans="1:40" s="357" customFormat="1" ht="82.5" customHeight="1" x14ac:dyDescent="0.2">
      <c r="A36" s="1552"/>
      <c r="B36" s="1554"/>
      <c r="C36" s="1559"/>
      <c r="D36" s="408" t="s">
        <v>984</v>
      </c>
      <c r="E36" s="375" t="s">
        <v>880</v>
      </c>
      <c r="F36" s="522" t="s">
        <v>968</v>
      </c>
      <c r="G36" s="521">
        <v>176000</v>
      </c>
      <c r="H36" s="521">
        <v>290000</v>
      </c>
      <c r="I36" s="415">
        <v>186000</v>
      </c>
      <c r="J36" s="416">
        <v>196000</v>
      </c>
      <c r="K36" s="417">
        <v>206000</v>
      </c>
      <c r="L36" s="415">
        <v>290000</v>
      </c>
      <c r="M36" s="382">
        <v>188635</v>
      </c>
      <c r="N36" s="383">
        <v>196000</v>
      </c>
      <c r="O36" s="384">
        <v>288919</v>
      </c>
      <c r="P36" s="613">
        <f>Tabla1[[#This Row],[Avance 1 trimestre ]]+Tabla1[[#This Row],[Avance  trimestre 2]]+Tabla1[[#This Row],[Avance  trimestre 3]]+Tabla1[[#This Row],[Avance  trimestre 4]]</f>
        <v>288919</v>
      </c>
      <c r="Q36" s="468"/>
      <c r="R36" s="468">
        <f>Tabla1[[#This Row],[Alcanzado  2017]]</f>
        <v>288919</v>
      </c>
      <c r="S36" s="468"/>
      <c r="T36" s="469">
        <v>289419</v>
      </c>
      <c r="U36" s="469">
        <v>0</v>
      </c>
      <c r="V36" s="469"/>
      <c r="W36" s="470"/>
      <c r="X36" s="470">
        <v>0</v>
      </c>
      <c r="Y36" s="444"/>
      <c r="Z36" s="579">
        <v>290000</v>
      </c>
      <c r="AA36" s="505">
        <v>0</v>
      </c>
      <c r="AB36" s="467"/>
      <c r="AC36" s="419"/>
      <c r="AD36" s="374" t="s">
        <v>898</v>
      </c>
      <c r="AE36" s="387" t="s">
        <v>883</v>
      </c>
      <c r="AF36" s="387" t="s">
        <v>890</v>
      </c>
      <c r="AG36" s="387" t="s">
        <v>982</v>
      </c>
      <c r="AH36" s="387" t="s">
        <v>886</v>
      </c>
      <c r="AI36" s="388" t="s">
        <v>886</v>
      </c>
      <c r="AJ36" s="373"/>
      <c r="AK36" s="389"/>
      <c r="AL36" s="373">
        <f>Tabla1[[#This Row],[Avance 2018]]</f>
        <v>288919</v>
      </c>
      <c r="AM36" s="373"/>
      <c r="AN36" s="570">
        <f>Tabla1[[#This Row],[META 2018]]-AL36</f>
        <v>1081</v>
      </c>
    </row>
    <row r="37" spans="1:40" s="357" customFormat="1" ht="48.75" customHeight="1" thickBot="1" x14ac:dyDescent="0.25">
      <c r="A37" s="1552"/>
      <c r="B37" s="1554"/>
      <c r="C37" s="1559"/>
      <c r="D37" s="408" t="s">
        <v>782</v>
      </c>
      <c r="E37" s="375" t="s">
        <v>880</v>
      </c>
      <c r="F37" s="522" t="s">
        <v>985</v>
      </c>
      <c r="G37" s="521">
        <v>791</v>
      </c>
      <c r="H37" s="521">
        <v>3200</v>
      </c>
      <c r="I37" s="415">
        <v>800</v>
      </c>
      <c r="J37" s="416">
        <v>800</v>
      </c>
      <c r="K37" s="417">
        <v>800</v>
      </c>
      <c r="L37" s="415">
        <v>800</v>
      </c>
      <c r="M37" s="382">
        <f>'PLAN ESTRATEGICO'!Q13</f>
        <v>940</v>
      </c>
      <c r="N37" s="382">
        <f>'PLAN ESTRATEGICO'!R13</f>
        <v>730</v>
      </c>
      <c r="O37" s="382">
        <f>'PLAN ESTRATEGICO'!S13</f>
        <v>877</v>
      </c>
      <c r="P37" s="613">
        <f>Tabla1[[#This Row],[Avance 1 trimestre ]]+Tabla1[[#This Row],[Avance  trimestre 2]]+Tabla1[[#This Row],[Avance  trimestre 3]]+Tabla1[[#This Row],[Avance  trimestre 4]]</f>
        <v>0</v>
      </c>
      <c r="Q37" s="468"/>
      <c r="R37" s="468">
        <f>'PLAN ESTRATEGICO'!L13</f>
        <v>0</v>
      </c>
      <c r="S37" s="468"/>
      <c r="T37" s="469"/>
      <c r="U37" s="469">
        <f>'PLAN ESTRATEGICO'!M13</f>
        <v>0</v>
      </c>
      <c r="V37" s="469"/>
      <c r="W37" s="470"/>
      <c r="X37" s="470">
        <f>'PLAN ESTRATEGICO'!N13</f>
        <v>0</v>
      </c>
      <c r="Y37" s="444"/>
      <c r="Z37" s="579"/>
      <c r="AA37" s="505">
        <f>'PLAN ESTRATEGICO'!O13</f>
        <v>0</v>
      </c>
      <c r="AB37" s="471"/>
      <c r="AC37" s="419"/>
      <c r="AD37" s="374" t="s">
        <v>898</v>
      </c>
      <c r="AE37" s="387" t="s">
        <v>883</v>
      </c>
      <c r="AF37" s="387" t="s">
        <v>890</v>
      </c>
      <c r="AG37" s="387" t="s">
        <v>982</v>
      </c>
      <c r="AH37" s="387" t="s">
        <v>886</v>
      </c>
      <c r="AI37" s="388" t="s">
        <v>886</v>
      </c>
      <c r="AJ37" s="373"/>
      <c r="AK37" s="389"/>
      <c r="AL37" s="373">
        <f>Tabla1[[#This Row],[Alcanzado  2015]]+Tabla1[[#This Row],[Alcanzado  2016]]+Tabla1[[#This Row],[Alcanzado  2017]]+Tabla1[[#This Row],[Avance 2018]]</f>
        <v>2547</v>
      </c>
      <c r="AM37" s="373"/>
      <c r="AN37" s="570">
        <f>Tabla1[[#This Row],[META 2018]]-AL37</f>
        <v>-1747</v>
      </c>
    </row>
    <row r="38" spans="1:40" s="357" customFormat="1" ht="82.5" hidden="1" x14ac:dyDescent="0.2">
      <c r="A38" s="1552"/>
      <c r="B38" s="1554"/>
      <c r="C38" s="1560" t="s">
        <v>986</v>
      </c>
      <c r="D38" s="472" t="s">
        <v>987</v>
      </c>
      <c r="E38" s="375" t="s">
        <v>880</v>
      </c>
      <c r="F38" s="375" t="s">
        <v>912</v>
      </c>
      <c r="G38" s="447">
        <v>1489624</v>
      </c>
      <c r="H38" s="414">
        <v>1300000</v>
      </c>
      <c r="I38" s="414">
        <v>0</v>
      </c>
      <c r="J38" s="414">
        <v>0</v>
      </c>
      <c r="K38" s="417">
        <v>1349131</v>
      </c>
      <c r="L38" s="414"/>
      <c r="M38" s="383"/>
      <c r="N38" s="383"/>
      <c r="O38" s="383"/>
      <c r="P38" s="414" t="e">
        <f>Tabla1[[#This Row],[Avance 1 trimestre ]]+Tabla1[[#This Row],[Avance  trimestre 2]]+Tabla1[[#This Row],[Avance  trimestre 3]]+Tabla1[[#This Row],[Avance  trimestre 4]]</f>
        <v>#REF!</v>
      </c>
      <c r="Q38" s="414"/>
      <c r="R38" s="414"/>
      <c r="S38" s="414"/>
      <c r="T38" s="414"/>
      <c r="U38" s="414">
        <f>'PLAN ESTRATEGICO'!M39</f>
        <v>0</v>
      </c>
      <c r="V38" s="414"/>
      <c r="W38" s="414"/>
      <c r="X38" s="414">
        <f>'PLAN ESTRATEGICO'!N39</f>
        <v>0</v>
      </c>
      <c r="Y38" s="474" t="e">
        <f>#REF!/#REF!</f>
        <v>#REF!</v>
      </c>
      <c r="Z38" s="474"/>
      <c r="AA38" s="474" t="e">
        <f>Tabla1[[#This Row],[Proyectado  trimestre 4]]/#REF!</f>
        <v>#REF!</v>
      </c>
      <c r="AB38" s="473"/>
      <c r="AC38" s="474"/>
      <c r="AD38" s="374" t="s">
        <v>898</v>
      </c>
      <c r="AE38" s="375" t="s">
        <v>969</v>
      </c>
      <c r="AF38" s="387" t="s">
        <v>890</v>
      </c>
      <c r="AG38" s="387" t="s">
        <v>899</v>
      </c>
      <c r="AH38" s="375" t="s">
        <v>914</v>
      </c>
      <c r="AI38" s="413" t="s">
        <v>914</v>
      </c>
      <c r="AJ38" s="373"/>
      <c r="AK38" s="389"/>
      <c r="AL38" s="373" t="e">
        <f>Tabla1[[#This Row],[Alcanzado  2015]]+Tabla1[[#This Row],[Alcanzado  2016]]+Tabla1[[#This Row],[Alcanzado  2017]]+Tabla1[[#This Row],[Avance 2018]]</f>
        <v>#REF!</v>
      </c>
      <c r="AM38" s="373"/>
      <c r="AN38" s="570" t="e">
        <f>Tabla1[[#This Row],[META 2018]]-AL38</f>
        <v>#REF!</v>
      </c>
    </row>
    <row r="39" spans="1:40" s="357" customFormat="1" ht="82.5" hidden="1" x14ac:dyDescent="0.2">
      <c r="A39" s="1552"/>
      <c r="B39" s="1554"/>
      <c r="C39" s="1560"/>
      <c r="D39" s="408" t="s">
        <v>988</v>
      </c>
      <c r="E39" s="375" t="s">
        <v>880</v>
      </c>
      <c r="F39" s="475" t="s">
        <v>912</v>
      </c>
      <c r="G39" s="475">
        <v>245175</v>
      </c>
      <c r="H39" s="414">
        <v>250000</v>
      </c>
      <c r="I39" s="414">
        <v>0</v>
      </c>
      <c r="J39" s="414">
        <v>0</v>
      </c>
      <c r="K39" s="417">
        <v>250458</v>
      </c>
      <c r="L39" s="414"/>
      <c r="M39" s="383"/>
      <c r="N39" s="383"/>
      <c r="O39" s="383"/>
      <c r="P39" s="414" t="e">
        <f>Tabla1[[#This Row],[Avance 1 trimestre ]]+Tabla1[[#This Row],[Avance  trimestre 2]]+Tabla1[[#This Row],[Avance  trimestre 3]]+Tabla1[[#This Row],[Avance  trimestre 4]]</f>
        <v>#REF!</v>
      </c>
      <c r="Q39" s="414"/>
      <c r="R39" s="414"/>
      <c r="S39" s="414"/>
      <c r="T39" s="414"/>
      <c r="U39" s="414">
        <f>'PLAN ESTRATEGICO'!M40</f>
        <v>0</v>
      </c>
      <c r="V39" s="414"/>
      <c r="W39" s="414"/>
      <c r="X39" s="414">
        <f>'PLAN ESTRATEGICO'!N40</f>
        <v>0</v>
      </c>
      <c r="Y39" s="474" t="e">
        <f>#REF!/#REF!</f>
        <v>#REF!</v>
      </c>
      <c r="Z39" s="474"/>
      <c r="AA39" s="474" t="e">
        <f>Tabla1[[#This Row],[Proyectado  trimestre 4]]/#REF!</f>
        <v>#REF!</v>
      </c>
      <c r="AB39" s="474"/>
      <c r="AC39" s="474"/>
      <c r="AD39" s="374" t="s">
        <v>898</v>
      </c>
      <c r="AE39" s="375" t="s">
        <v>969</v>
      </c>
      <c r="AF39" s="387" t="s">
        <v>890</v>
      </c>
      <c r="AG39" s="387" t="s">
        <v>899</v>
      </c>
      <c r="AH39" s="375" t="s">
        <v>914</v>
      </c>
      <c r="AI39" s="413" t="s">
        <v>914</v>
      </c>
      <c r="AJ39" s="373"/>
      <c r="AK39" s="389"/>
      <c r="AL39" s="373" t="e">
        <f>Tabla1[[#This Row],[Alcanzado  2015]]+Tabla1[[#This Row],[Alcanzado  2016]]+Tabla1[[#This Row],[Alcanzado  2017]]+Tabla1[[#This Row],[Avance 2018]]</f>
        <v>#REF!</v>
      </c>
      <c r="AM39" s="373"/>
      <c r="AN39" s="570" t="e">
        <f>Tabla1[[#This Row],[META 2018]]-AL39</f>
        <v>#REF!</v>
      </c>
    </row>
    <row r="40" spans="1:40" s="357" customFormat="1" ht="82.5" hidden="1" x14ac:dyDescent="0.2">
      <c r="A40" s="1552"/>
      <c r="B40" s="1554"/>
      <c r="C40" s="1560"/>
      <c r="D40" s="408" t="s">
        <v>989</v>
      </c>
      <c r="E40" s="375" t="s">
        <v>880</v>
      </c>
      <c r="F40" s="375" t="s">
        <v>912</v>
      </c>
      <c r="G40" s="447">
        <v>1001378</v>
      </c>
      <c r="H40" s="414">
        <v>915000</v>
      </c>
      <c r="I40" s="414">
        <v>0</v>
      </c>
      <c r="J40" s="414">
        <v>0</v>
      </c>
      <c r="K40" s="417">
        <v>912920</v>
      </c>
      <c r="L40" s="414"/>
      <c r="M40" s="383"/>
      <c r="N40" s="383"/>
      <c r="O40" s="383"/>
      <c r="P40" s="414" t="e">
        <f>Tabla1[[#This Row],[Avance 1 trimestre ]]+Tabla1[[#This Row],[Avance  trimestre 2]]+Tabla1[[#This Row],[Avance  trimestre 3]]+Tabla1[[#This Row],[Avance  trimestre 4]]</f>
        <v>#REF!</v>
      </c>
      <c r="Q40" s="414"/>
      <c r="R40" s="414"/>
      <c r="S40" s="414"/>
      <c r="T40" s="414"/>
      <c r="U40" s="414">
        <f>'PLAN ESTRATEGICO'!M41</f>
        <v>0</v>
      </c>
      <c r="V40" s="414"/>
      <c r="W40" s="414"/>
      <c r="X40" s="414">
        <f>'PLAN ESTRATEGICO'!N41</f>
        <v>0</v>
      </c>
      <c r="Y40" s="474" t="e">
        <f>#REF!/#REF!</f>
        <v>#REF!</v>
      </c>
      <c r="Z40" s="474"/>
      <c r="AA40" s="474" t="e">
        <f>Tabla1[[#This Row],[Proyectado  trimestre 4]]/#REF!</f>
        <v>#REF!</v>
      </c>
      <c r="AB40" s="474"/>
      <c r="AC40" s="474"/>
      <c r="AD40" s="374" t="s">
        <v>898</v>
      </c>
      <c r="AE40" s="375" t="s">
        <v>969</v>
      </c>
      <c r="AF40" s="387" t="s">
        <v>890</v>
      </c>
      <c r="AG40" s="387" t="s">
        <v>899</v>
      </c>
      <c r="AH40" s="375" t="s">
        <v>914</v>
      </c>
      <c r="AI40" s="413" t="s">
        <v>914</v>
      </c>
      <c r="AJ40" s="373"/>
      <c r="AK40" s="389"/>
      <c r="AL40" s="373" t="e">
        <f>Tabla1[[#This Row],[Alcanzado  2015]]+Tabla1[[#This Row],[Alcanzado  2016]]+Tabla1[[#This Row],[Alcanzado  2017]]+Tabla1[[#This Row],[Avance 2018]]</f>
        <v>#REF!</v>
      </c>
      <c r="AM40" s="373"/>
      <c r="AN40" s="570" t="e">
        <f>Tabla1[[#This Row],[META 2018]]-AL40</f>
        <v>#REF!</v>
      </c>
    </row>
    <row r="41" spans="1:40" s="357" customFormat="1" ht="82.5" hidden="1" x14ac:dyDescent="0.2">
      <c r="A41" s="1552"/>
      <c r="B41" s="1554"/>
      <c r="C41" s="1560"/>
      <c r="D41" s="408" t="s">
        <v>990</v>
      </c>
      <c r="E41" s="375" t="s">
        <v>880</v>
      </c>
      <c r="F41" s="375" t="s">
        <v>912</v>
      </c>
      <c r="G41" s="447">
        <v>269395</v>
      </c>
      <c r="H41" s="414">
        <v>228597</v>
      </c>
      <c r="I41" s="414">
        <v>0</v>
      </c>
      <c r="J41" s="414">
        <v>0</v>
      </c>
      <c r="K41" s="417">
        <v>229329</v>
      </c>
      <c r="L41" s="414"/>
      <c r="M41" s="383"/>
      <c r="N41" s="383"/>
      <c r="O41" s="383"/>
      <c r="P41" s="414" t="e">
        <f>Tabla1[[#This Row],[Avance 1 trimestre ]]+Tabla1[[#This Row],[Avance  trimestre 2]]+Tabla1[[#This Row],[Avance  trimestre 3]]+Tabla1[[#This Row],[Avance  trimestre 4]]</f>
        <v>#REF!</v>
      </c>
      <c r="Q41" s="414"/>
      <c r="R41" s="414"/>
      <c r="S41" s="414"/>
      <c r="T41" s="414"/>
      <c r="U41" s="414">
        <f>'PLAN ESTRATEGICO'!M42</f>
        <v>0</v>
      </c>
      <c r="V41" s="414"/>
      <c r="W41" s="414"/>
      <c r="X41" s="414">
        <f>'PLAN ESTRATEGICO'!N42</f>
        <v>0</v>
      </c>
      <c r="Y41" s="474" t="e">
        <f>#REF!/#REF!</f>
        <v>#REF!</v>
      </c>
      <c r="Z41" s="474"/>
      <c r="AA41" s="474" t="e">
        <f>Tabla1[[#This Row],[Proyectado  trimestre 4]]/#REF!</f>
        <v>#REF!</v>
      </c>
      <c r="AB41" s="474"/>
      <c r="AC41" s="474"/>
      <c r="AD41" s="374" t="s">
        <v>898</v>
      </c>
      <c r="AE41" s="375" t="s">
        <v>969</v>
      </c>
      <c r="AF41" s="387" t="s">
        <v>890</v>
      </c>
      <c r="AG41" s="387" t="s">
        <v>899</v>
      </c>
      <c r="AH41" s="375" t="s">
        <v>914</v>
      </c>
      <c r="AI41" s="413" t="s">
        <v>914</v>
      </c>
      <c r="AJ41" s="373"/>
      <c r="AK41" s="389"/>
      <c r="AL41" s="373" t="e">
        <f>Tabla1[[#This Row],[Alcanzado  2015]]+Tabla1[[#This Row],[Alcanzado  2016]]+Tabla1[[#This Row],[Alcanzado  2017]]+Tabla1[[#This Row],[Avance 2018]]</f>
        <v>#REF!</v>
      </c>
      <c r="AM41" s="373"/>
      <c r="AN41" s="570" t="e">
        <f>Tabla1[[#This Row],[META 2018]]-AL41</f>
        <v>#REF!</v>
      </c>
    </row>
    <row r="42" spans="1:40" s="357" customFormat="1" ht="82.5" hidden="1" x14ac:dyDescent="0.2">
      <c r="A42" s="1552"/>
      <c r="B42" s="1554"/>
      <c r="C42" s="1560"/>
      <c r="D42" s="408" t="s">
        <v>991</v>
      </c>
      <c r="E42" s="375" t="s">
        <v>889</v>
      </c>
      <c r="F42" s="375" t="s">
        <v>992</v>
      </c>
      <c r="G42" s="475">
        <v>0</v>
      </c>
      <c r="H42" s="375">
        <v>400</v>
      </c>
      <c r="I42" s="375">
        <v>0</v>
      </c>
      <c r="J42" s="375">
        <v>0</v>
      </c>
      <c r="K42" s="476">
        <f>+'[2] FICHA TECNICA 2- ROM'!$F$31</f>
        <v>150</v>
      </c>
      <c r="L42" s="375"/>
      <c r="M42" s="383"/>
      <c r="N42" s="383"/>
      <c r="O42" s="383"/>
      <c r="P42" s="424" t="e">
        <f>Tabla1[[#This Row],[Avance 1 trimestre ]]+Tabla1[[#This Row],[Avance  trimestre 2]]+Tabla1[[#This Row],[Avance  trimestre 3]]+Tabla1[[#This Row],[Avance  trimestre 4]]</f>
        <v>#REF!</v>
      </c>
      <c r="Q42" s="375"/>
      <c r="R42" s="375"/>
      <c r="S42" s="375"/>
      <c r="T42" s="375"/>
      <c r="U42" s="424">
        <f>'PLAN ESTRATEGICO'!M43</f>
        <v>0</v>
      </c>
      <c r="V42" s="375"/>
      <c r="W42" s="375"/>
      <c r="X42" s="424">
        <f>'PLAN ESTRATEGICO'!N43</f>
        <v>0</v>
      </c>
      <c r="Y42" s="474" t="e">
        <f>#REF!/#REF!</f>
        <v>#REF!</v>
      </c>
      <c r="Z42" s="474"/>
      <c r="AA42" s="474" t="e">
        <f>Tabla1[[#This Row],[Proyectado  trimestre 4]]/#REF!</f>
        <v>#REF!</v>
      </c>
      <c r="AB42" s="474"/>
      <c r="AC42" s="474"/>
      <c r="AD42" s="374" t="s">
        <v>898</v>
      </c>
      <c r="AE42" s="375" t="s">
        <v>969</v>
      </c>
      <c r="AF42" s="387" t="s">
        <v>890</v>
      </c>
      <c r="AG42" s="387" t="s">
        <v>899</v>
      </c>
      <c r="AH42" s="375" t="s">
        <v>914</v>
      </c>
      <c r="AI42" s="413" t="s">
        <v>914</v>
      </c>
      <c r="AJ42" s="373"/>
      <c r="AK42" s="389"/>
      <c r="AL42" s="373" t="e">
        <f>Tabla1[[#This Row],[Alcanzado  2015]]+Tabla1[[#This Row],[Alcanzado  2016]]+Tabla1[[#This Row],[Alcanzado  2017]]+Tabla1[[#This Row],[Avance 2018]]</f>
        <v>#REF!</v>
      </c>
      <c r="AM42" s="373"/>
      <c r="AN42" s="570" t="e">
        <f>Tabla1[[#This Row],[META 2018]]-AL42</f>
        <v>#REF!</v>
      </c>
    </row>
    <row r="43" spans="1:40" s="357" customFormat="1" ht="82.5" hidden="1" x14ac:dyDescent="0.2">
      <c r="A43" s="1552"/>
      <c r="B43" s="1554"/>
      <c r="C43" s="1560"/>
      <c r="D43" s="408" t="s">
        <v>993</v>
      </c>
      <c r="E43" s="375" t="s">
        <v>889</v>
      </c>
      <c r="F43" s="375" t="s">
        <v>912</v>
      </c>
      <c r="G43" s="447">
        <v>6821779</v>
      </c>
      <c r="H43" s="447">
        <v>7077412</v>
      </c>
      <c r="I43" s="447">
        <v>0</v>
      </c>
      <c r="J43" s="414">
        <v>0</v>
      </c>
      <c r="K43" s="417">
        <v>7047654</v>
      </c>
      <c r="L43" s="447"/>
      <c r="M43" s="383"/>
      <c r="N43" s="383"/>
      <c r="O43" s="383"/>
      <c r="P43" s="414" t="e">
        <f>Tabla1[[#This Row],[Avance 1 trimestre ]]+Tabla1[[#This Row],[Avance  trimestre 2]]+Tabla1[[#This Row],[Avance  trimestre 3]]+Tabla1[[#This Row],[Avance  trimestre 4]]</f>
        <v>#REF!</v>
      </c>
      <c r="Q43" s="414"/>
      <c r="R43" s="414"/>
      <c r="S43" s="414"/>
      <c r="T43" s="414"/>
      <c r="U43" s="414">
        <f>'PLAN ESTRATEGICO'!M44</f>
        <v>0</v>
      </c>
      <c r="V43" s="414"/>
      <c r="W43" s="414"/>
      <c r="X43" s="414">
        <f>'PLAN ESTRATEGICO'!N44</f>
        <v>0</v>
      </c>
      <c r="Y43" s="474" t="e">
        <f>#REF!/#REF!</f>
        <v>#REF!</v>
      </c>
      <c r="Z43" s="474"/>
      <c r="AA43" s="474" t="e">
        <f>Tabla1[[#This Row],[Proyectado  trimestre 4]]/#REF!</f>
        <v>#REF!</v>
      </c>
      <c r="AB43" s="474"/>
      <c r="AC43" s="474"/>
      <c r="AD43" s="374" t="s">
        <v>898</v>
      </c>
      <c r="AE43" s="375" t="s">
        <v>969</v>
      </c>
      <c r="AF43" s="387" t="s">
        <v>890</v>
      </c>
      <c r="AG43" s="387" t="s">
        <v>899</v>
      </c>
      <c r="AH43" s="375" t="s">
        <v>914</v>
      </c>
      <c r="AI43" s="413" t="s">
        <v>914</v>
      </c>
      <c r="AJ43" s="373"/>
      <c r="AK43" s="389"/>
      <c r="AL43" s="373" t="e">
        <f>Tabla1[[#This Row],[Alcanzado  2015]]+Tabla1[[#This Row],[Alcanzado  2016]]+Tabla1[[#This Row],[Alcanzado  2017]]+Tabla1[[#This Row],[Avance 2018]]</f>
        <v>#REF!</v>
      </c>
      <c r="AM43" s="373"/>
      <c r="AN43" s="570" t="e">
        <f>Tabla1[[#This Row],[META 2018]]-AL43</f>
        <v>#REF!</v>
      </c>
    </row>
    <row r="44" spans="1:40" s="357" customFormat="1" ht="82.5" hidden="1" x14ac:dyDescent="0.2">
      <c r="A44" s="1552"/>
      <c r="B44" s="1554"/>
      <c r="C44" s="1560"/>
      <c r="D44" s="408" t="s">
        <v>994</v>
      </c>
      <c r="E44" s="375" t="s">
        <v>880</v>
      </c>
      <c r="F44" s="375" t="s">
        <v>912</v>
      </c>
      <c r="G44" s="447">
        <v>2101663</v>
      </c>
      <c r="H44" s="447">
        <v>1647448</v>
      </c>
      <c r="I44" s="447">
        <v>0</v>
      </c>
      <c r="J44" s="414">
        <v>0</v>
      </c>
      <c r="K44" s="417">
        <v>1647448</v>
      </c>
      <c r="L44" s="447"/>
      <c r="M44" s="383"/>
      <c r="N44" s="383"/>
      <c r="O44" s="383"/>
      <c r="P44" s="414" t="e">
        <f>Tabla1[[#This Row],[Avance 1 trimestre ]]+Tabla1[[#This Row],[Avance  trimestre 2]]+Tabla1[[#This Row],[Avance  trimestre 3]]+Tabla1[[#This Row],[Avance  trimestre 4]]</f>
        <v>#REF!</v>
      </c>
      <c r="Q44" s="414"/>
      <c r="R44" s="414"/>
      <c r="S44" s="414"/>
      <c r="T44" s="414"/>
      <c r="U44" s="414">
        <f>'PLAN ESTRATEGICO'!M45</f>
        <v>0</v>
      </c>
      <c r="V44" s="414"/>
      <c r="W44" s="414"/>
      <c r="X44" s="414">
        <f>'PLAN ESTRATEGICO'!N45</f>
        <v>0</v>
      </c>
      <c r="Y44" s="474" t="e">
        <f>#REF!/#REF!</f>
        <v>#REF!</v>
      </c>
      <c r="Z44" s="474"/>
      <c r="AA44" s="474" t="e">
        <f>Tabla1[[#This Row],[Proyectado  trimestre 4]]/#REF!</f>
        <v>#REF!</v>
      </c>
      <c r="AB44" s="474"/>
      <c r="AC44" s="474"/>
      <c r="AD44" s="374" t="s">
        <v>898</v>
      </c>
      <c r="AE44" s="375" t="s">
        <v>969</v>
      </c>
      <c r="AF44" s="387" t="s">
        <v>890</v>
      </c>
      <c r="AG44" s="387" t="s">
        <v>899</v>
      </c>
      <c r="AH44" s="375" t="s">
        <v>914</v>
      </c>
      <c r="AI44" s="413" t="s">
        <v>914</v>
      </c>
      <c r="AJ44" s="373"/>
      <c r="AK44" s="389"/>
      <c r="AL44" s="373" t="e">
        <f>Tabla1[[#This Row],[Alcanzado  2015]]+Tabla1[[#This Row],[Alcanzado  2016]]+Tabla1[[#This Row],[Alcanzado  2017]]+Tabla1[[#This Row],[Avance 2018]]</f>
        <v>#REF!</v>
      </c>
      <c r="AM44" s="373"/>
      <c r="AN44" s="570" t="e">
        <f>Tabla1[[#This Row],[META 2018]]-AL44</f>
        <v>#REF!</v>
      </c>
    </row>
    <row r="45" spans="1:40" s="357" customFormat="1" ht="82.5" hidden="1" x14ac:dyDescent="0.2">
      <c r="A45" s="1552"/>
      <c r="B45" s="1554"/>
      <c r="C45" s="1560"/>
      <c r="D45" s="408" t="s">
        <v>995</v>
      </c>
      <c r="E45" s="375" t="s">
        <v>889</v>
      </c>
      <c r="F45" s="375" t="s">
        <v>912</v>
      </c>
      <c r="G45" s="447">
        <v>217754</v>
      </c>
      <c r="H45" s="447">
        <v>188980</v>
      </c>
      <c r="I45" s="447">
        <v>0</v>
      </c>
      <c r="J45" s="414">
        <v>0</v>
      </c>
      <c r="K45" s="417">
        <v>188980</v>
      </c>
      <c r="L45" s="447"/>
      <c r="M45" s="383"/>
      <c r="N45" s="383"/>
      <c r="O45" s="383"/>
      <c r="P45" s="414" t="e">
        <f>Tabla1[[#This Row],[Avance 1 trimestre ]]+Tabla1[[#This Row],[Avance  trimestre 2]]+Tabla1[[#This Row],[Avance  trimestre 3]]+Tabla1[[#This Row],[Avance  trimestre 4]]</f>
        <v>#REF!</v>
      </c>
      <c r="Q45" s="414"/>
      <c r="R45" s="414"/>
      <c r="S45" s="414"/>
      <c r="T45" s="414"/>
      <c r="U45" s="414">
        <f>'PLAN ESTRATEGICO'!M46</f>
        <v>0</v>
      </c>
      <c r="V45" s="414"/>
      <c r="W45" s="414"/>
      <c r="X45" s="414">
        <f>'PLAN ESTRATEGICO'!N46</f>
        <v>0</v>
      </c>
      <c r="Y45" s="474" t="e">
        <f>#REF!/#REF!</f>
        <v>#REF!</v>
      </c>
      <c r="Z45" s="474"/>
      <c r="AA45" s="474" t="e">
        <f>Tabla1[[#This Row],[Proyectado  trimestre 4]]/#REF!</f>
        <v>#REF!</v>
      </c>
      <c r="AB45" s="474"/>
      <c r="AC45" s="474"/>
      <c r="AD45" s="374" t="s">
        <v>898</v>
      </c>
      <c r="AE45" s="375" t="s">
        <v>969</v>
      </c>
      <c r="AF45" s="387" t="s">
        <v>890</v>
      </c>
      <c r="AG45" s="387" t="s">
        <v>899</v>
      </c>
      <c r="AH45" s="375" t="s">
        <v>914</v>
      </c>
      <c r="AI45" s="413" t="s">
        <v>914</v>
      </c>
      <c r="AJ45" s="373"/>
      <c r="AK45" s="389"/>
      <c r="AL45" s="373" t="e">
        <f>Tabla1[[#This Row],[Alcanzado  2015]]+Tabla1[[#This Row],[Alcanzado  2016]]+Tabla1[[#This Row],[Alcanzado  2017]]+Tabla1[[#This Row],[Avance 2018]]</f>
        <v>#REF!</v>
      </c>
      <c r="AM45" s="373"/>
      <c r="AN45" s="570" t="e">
        <f>Tabla1[[#This Row],[META 2018]]-AL45</f>
        <v>#REF!</v>
      </c>
    </row>
    <row r="46" spans="1:40" s="357" customFormat="1" ht="82.5" hidden="1" x14ac:dyDescent="0.2">
      <c r="A46" s="1552"/>
      <c r="B46" s="1554"/>
      <c r="C46" s="1560"/>
      <c r="D46" s="408" t="s">
        <v>996</v>
      </c>
      <c r="E46" s="375" t="s">
        <v>889</v>
      </c>
      <c r="F46" s="375" t="s">
        <v>912</v>
      </c>
      <c r="G46" s="447">
        <v>3212494</v>
      </c>
      <c r="H46" s="447">
        <v>2728511</v>
      </c>
      <c r="I46" s="447">
        <v>0</v>
      </c>
      <c r="J46" s="414">
        <v>0</v>
      </c>
      <c r="K46" s="417">
        <v>2728511</v>
      </c>
      <c r="L46" s="447"/>
      <c r="M46" s="383"/>
      <c r="N46" s="383"/>
      <c r="O46" s="383"/>
      <c r="P46" s="414" t="e">
        <f>Tabla1[[#This Row],[Avance 1 trimestre ]]+Tabla1[[#This Row],[Avance  trimestre 2]]+Tabla1[[#This Row],[Avance  trimestre 3]]+Tabla1[[#This Row],[Avance  trimestre 4]]</f>
        <v>#REF!</v>
      </c>
      <c r="Q46" s="414"/>
      <c r="R46" s="414"/>
      <c r="S46" s="414"/>
      <c r="T46" s="414"/>
      <c r="U46" s="414">
        <f>'PLAN ESTRATEGICO'!M47</f>
        <v>0</v>
      </c>
      <c r="V46" s="414"/>
      <c r="W46" s="414"/>
      <c r="X46" s="414">
        <f>'PLAN ESTRATEGICO'!N47</f>
        <v>0</v>
      </c>
      <c r="Y46" s="474" t="e">
        <f>#REF!/#REF!</f>
        <v>#REF!</v>
      </c>
      <c r="Z46" s="474"/>
      <c r="AA46" s="474" t="e">
        <f>Tabla1[[#This Row],[Proyectado  trimestre 4]]/#REF!</f>
        <v>#REF!</v>
      </c>
      <c r="AB46" s="474"/>
      <c r="AC46" s="474"/>
      <c r="AD46" s="374" t="s">
        <v>898</v>
      </c>
      <c r="AE46" s="375" t="s">
        <v>969</v>
      </c>
      <c r="AF46" s="387" t="s">
        <v>890</v>
      </c>
      <c r="AG46" s="387" t="s">
        <v>899</v>
      </c>
      <c r="AH46" s="375" t="s">
        <v>914</v>
      </c>
      <c r="AI46" s="413" t="s">
        <v>914</v>
      </c>
      <c r="AJ46" s="373"/>
      <c r="AK46" s="389"/>
      <c r="AL46" s="373" t="e">
        <f>Tabla1[[#This Row],[Alcanzado  2015]]+Tabla1[[#This Row],[Alcanzado  2016]]+Tabla1[[#This Row],[Alcanzado  2017]]+Tabla1[[#This Row],[Avance 2018]]</f>
        <v>#REF!</v>
      </c>
      <c r="AM46" s="373"/>
      <c r="AN46" s="570" t="e">
        <f>Tabla1[[#This Row],[META 2018]]-AL46</f>
        <v>#REF!</v>
      </c>
    </row>
    <row r="47" spans="1:40" s="357" customFormat="1" ht="82.5" hidden="1" x14ac:dyDescent="0.2">
      <c r="A47" s="1552"/>
      <c r="B47" s="1554"/>
      <c r="C47" s="1560"/>
      <c r="D47" s="408" t="s">
        <v>997</v>
      </c>
      <c r="E47" s="375" t="s">
        <v>889</v>
      </c>
      <c r="F47" s="375" t="s">
        <v>912</v>
      </c>
      <c r="G47" s="447">
        <v>936457</v>
      </c>
      <c r="H47" s="447">
        <v>886991</v>
      </c>
      <c r="I47" s="447">
        <v>0</v>
      </c>
      <c r="J47" s="414">
        <v>0</v>
      </c>
      <c r="K47" s="417">
        <v>886991</v>
      </c>
      <c r="L47" s="447"/>
      <c r="M47" s="383"/>
      <c r="N47" s="383"/>
      <c r="O47" s="383"/>
      <c r="P47" s="414" t="e">
        <f>Tabla1[[#This Row],[Avance 1 trimestre ]]+Tabla1[[#This Row],[Avance  trimestre 2]]+Tabla1[[#This Row],[Avance  trimestre 3]]+Tabla1[[#This Row],[Avance  trimestre 4]]</f>
        <v>#REF!</v>
      </c>
      <c r="Q47" s="414"/>
      <c r="R47" s="414"/>
      <c r="S47" s="414"/>
      <c r="T47" s="414"/>
      <c r="U47" s="414">
        <f>'PLAN ESTRATEGICO'!M48</f>
        <v>0</v>
      </c>
      <c r="V47" s="414"/>
      <c r="W47" s="414"/>
      <c r="X47" s="414">
        <f>'PLAN ESTRATEGICO'!N48</f>
        <v>0</v>
      </c>
      <c r="Y47" s="474" t="e">
        <f>#REF!/#REF!</f>
        <v>#REF!</v>
      </c>
      <c r="Z47" s="474"/>
      <c r="AA47" s="474" t="e">
        <f>Tabla1[[#This Row],[Proyectado  trimestre 4]]/#REF!</f>
        <v>#REF!</v>
      </c>
      <c r="AB47" s="474"/>
      <c r="AC47" s="474"/>
      <c r="AD47" s="374" t="s">
        <v>898</v>
      </c>
      <c r="AE47" s="375" t="s">
        <v>969</v>
      </c>
      <c r="AF47" s="387" t="s">
        <v>890</v>
      </c>
      <c r="AG47" s="387" t="s">
        <v>899</v>
      </c>
      <c r="AH47" s="375" t="s">
        <v>914</v>
      </c>
      <c r="AI47" s="413" t="s">
        <v>914</v>
      </c>
      <c r="AJ47" s="373"/>
      <c r="AK47" s="389"/>
      <c r="AL47" s="373" t="e">
        <f>Tabla1[[#This Row],[Alcanzado  2015]]+Tabla1[[#This Row],[Alcanzado  2016]]+Tabla1[[#This Row],[Alcanzado  2017]]+Tabla1[[#This Row],[Avance 2018]]</f>
        <v>#REF!</v>
      </c>
      <c r="AM47" s="373"/>
      <c r="AN47" s="570" t="e">
        <f>Tabla1[[#This Row],[META 2018]]-AL47</f>
        <v>#REF!</v>
      </c>
    </row>
    <row r="48" spans="1:40" s="357" customFormat="1" ht="82.5" hidden="1" x14ac:dyDescent="0.2">
      <c r="A48" s="1552"/>
      <c r="B48" s="1554"/>
      <c r="C48" s="1560"/>
      <c r="D48" s="408" t="s">
        <v>998</v>
      </c>
      <c r="E48" s="375" t="s">
        <v>889</v>
      </c>
      <c r="F48" s="375" t="s">
        <v>992</v>
      </c>
      <c r="G48" s="475">
        <v>0</v>
      </c>
      <c r="H48" s="375">
        <v>40</v>
      </c>
      <c r="I48" s="375">
        <v>0</v>
      </c>
      <c r="J48" s="375">
        <v>0</v>
      </c>
      <c r="K48" s="476">
        <v>15</v>
      </c>
      <c r="L48" s="375"/>
      <c r="M48" s="383"/>
      <c r="N48" s="383"/>
      <c r="O48" s="383"/>
      <c r="P48" s="424" t="e">
        <f>Tabla1[[#This Row],[Avance 1 trimestre ]]+Tabla1[[#This Row],[Avance  trimestre 2]]+Tabla1[[#This Row],[Avance  trimestre 3]]+Tabla1[[#This Row],[Avance  trimestre 4]]</f>
        <v>#REF!</v>
      </c>
      <c r="Q48" s="375"/>
      <c r="R48" s="375"/>
      <c r="S48" s="375"/>
      <c r="T48" s="375"/>
      <c r="U48" s="424">
        <f>'PLAN ESTRATEGICO'!M49</f>
        <v>0</v>
      </c>
      <c r="V48" s="375"/>
      <c r="W48" s="375"/>
      <c r="X48" s="424">
        <f>'PLAN ESTRATEGICO'!N49</f>
        <v>0</v>
      </c>
      <c r="Y48" s="414" t="e">
        <f>#REF!/#REF!</f>
        <v>#REF!</v>
      </c>
      <c r="Z48" s="414"/>
      <c r="AA48" s="414" t="e">
        <f>Tabla1[[#This Row],[Proyectado  trimestre 4]]/#REF!</f>
        <v>#REF!</v>
      </c>
      <c r="AB48" s="477"/>
      <c r="AC48" s="477"/>
      <c r="AD48" s="390" t="s">
        <v>898</v>
      </c>
      <c r="AE48" s="391" t="s">
        <v>969</v>
      </c>
      <c r="AF48" s="398" t="s">
        <v>890</v>
      </c>
      <c r="AG48" s="398" t="s">
        <v>899</v>
      </c>
      <c r="AH48" s="391" t="s">
        <v>914</v>
      </c>
      <c r="AI48" s="478" t="s">
        <v>914</v>
      </c>
      <c r="AJ48" s="400"/>
      <c r="AK48" s="401"/>
      <c r="AL48" s="373" t="e">
        <f>Tabla1[[#This Row],[Alcanzado  2015]]+Tabla1[[#This Row],[Alcanzado  2016]]+Tabla1[[#This Row],[Alcanzado  2017]]+Tabla1[[#This Row],[Avance 2018]]</f>
        <v>#REF!</v>
      </c>
      <c r="AM48" s="373"/>
      <c r="AN48" s="570" t="e">
        <f>Tabla1[[#This Row],[META 2018]]-AL48</f>
        <v>#REF!</v>
      </c>
    </row>
    <row r="49" spans="1:40" s="357" customFormat="1" ht="66" hidden="1" x14ac:dyDescent="0.2">
      <c r="A49" s="1561" t="s">
        <v>999</v>
      </c>
      <c r="B49" s="1562">
        <v>0.13</v>
      </c>
      <c r="C49" s="407" t="s">
        <v>1000</v>
      </c>
      <c r="D49" s="408" t="s">
        <v>1001</v>
      </c>
      <c r="E49" s="484" t="s">
        <v>889</v>
      </c>
      <c r="F49" s="485" t="s">
        <v>944</v>
      </c>
      <c r="G49" s="417">
        <v>8038181</v>
      </c>
      <c r="H49" s="486">
        <v>10041951</v>
      </c>
      <c r="I49" s="415">
        <v>8438181</v>
      </c>
      <c r="J49" s="416">
        <v>8838181</v>
      </c>
      <c r="K49" s="417">
        <v>9641951</v>
      </c>
      <c r="L49" s="415"/>
      <c r="M49" s="382"/>
      <c r="N49" s="383"/>
      <c r="O49" s="384"/>
      <c r="P49" s="416" t="e">
        <f>Tabla1[[#This Row],[Avance 1 trimestre ]]+Tabla1[[#This Row],[Avance  trimestre 2]]+Tabla1[[#This Row],[Avance  trimestre 3]]+Tabla1[[#This Row],[Avance  trimestre 4]]</f>
        <v>#REF!</v>
      </c>
      <c r="Q49" s="416"/>
      <c r="R49" s="416"/>
      <c r="S49" s="416"/>
      <c r="T49" s="416"/>
      <c r="U49" s="416">
        <f>'PLAN ESTRATEGICO'!M50</f>
        <v>0</v>
      </c>
      <c r="V49" s="416"/>
      <c r="W49" s="416"/>
      <c r="X49" s="416">
        <f>'PLAN ESTRATEGICO'!N50</f>
        <v>0</v>
      </c>
      <c r="Y49" s="486" t="e">
        <f>#REF!/#REF!</f>
        <v>#REF!</v>
      </c>
      <c r="Z49" s="486"/>
      <c r="AA49" s="486" t="e">
        <f>Tabla1[[#This Row],[Proyectado  trimestre 4]]/#REF!</f>
        <v>#REF!</v>
      </c>
      <c r="AB49" s="480"/>
      <c r="AC49" s="480"/>
      <c r="AD49" s="481" t="s">
        <v>949</v>
      </c>
      <c r="AE49" s="479" t="s">
        <v>883</v>
      </c>
      <c r="AF49" s="482" t="s">
        <v>890</v>
      </c>
      <c r="AG49" s="482" t="s">
        <v>899</v>
      </c>
      <c r="AH49" s="482" t="s">
        <v>892</v>
      </c>
      <c r="AI49" s="483" t="s">
        <v>946</v>
      </c>
      <c r="AJ49" s="371"/>
      <c r="AK49" s="372"/>
      <c r="AL49" s="373" t="e">
        <f>Tabla1[[#This Row],[Alcanzado  2015]]+Tabla1[[#This Row],[Alcanzado  2016]]+Tabla1[[#This Row],[Alcanzado  2017]]+Tabla1[[#This Row],[Avance 2018]]</f>
        <v>#REF!</v>
      </c>
      <c r="AM49" s="373"/>
      <c r="AN49" s="570" t="e">
        <f>Tabla1[[#This Row],[META 2018]]-AL49</f>
        <v>#REF!</v>
      </c>
    </row>
    <row r="50" spans="1:40" s="357" customFormat="1" ht="66" hidden="1" x14ac:dyDescent="0.2">
      <c r="A50" s="1561"/>
      <c r="B50" s="1562"/>
      <c r="C50" s="407" t="s">
        <v>1002</v>
      </c>
      <c r="D50" s="408" t="s">
        <v>1003</v>
      </c>
      <c r="E50" s="484" t="s">
        <v>889</v>
      </c>
      <c r="F50" s="485" t="s">
        <v>881</v>
      </c>
      <c r="G50" s="417">
        <v>9020355</v>
      </c>
      <c r="H50" s="486">
        <v>10820355</v>
      </c>
      <c r="I50" s="415">
        <v>9393090</v>
      </c>
      <c r="J50" s="416">
        <v>9843090</v>
      </c>
      <c r="K50" s="417">
        <v>10420355</v>
      </c>
      <c r="L50" s="415"/>
      <c r="M50" s="382"/>
      <c r="N50" s="383"/>
      <c r="O50" s="384"/>
      <c r="P50" s="416" t="e">
        <f>Tabla1[[#This Row],[Avance 1 trimestre ]]+Tabla1[[#This Row],[Avance  trimestre 2]]+Tabla1[[#This Row],[Avance  trimestre 3]]+Tabla1[[#This Row],[Avance  trimestre 4]]</f>
        <v>#REF!</v>
      </c>
      <c r="Q50" s="416"/>
      <c r="R50" s="416"/>
      <c r="S50" s="416"/>
      <c r="T50" s="416"/>
      <c r="U50" s="416">
        <f>'PLAN ESTRATEGICO'!M51</f>
        <v>0</v>
      </c>
      <c r="V50" s="416"/>
      <c r="W50" s="416"/>
      <c r="X50" s="416">
        <f>'PLAN ESTRATEGICO'!N51</f>
        <v>0</v>
      </c>
      <c r="Y50" s="486" t="e">
        <f>#REF!/#REF!</f>
        <v>#REF!</v>
      </c>
      <c r="Z50" s="486"/>
      <c r="AA50" s="486" t="e">
        <f>Tabla1[[#This Row],[Proyectado  trimestre 4]]/#REF!</f>
        <v>#REF!</v>
      </c>
      <c r="AB50" s="486"/>
      <c r="AC50" s="486"/>
      <c r="AD50" s="437" t="s">
        <v>949</v>
      </c>
      <c r="AE50" s="484" t="s">
        <v>883</v>
      </c>
      <c r="AF50" s="487" t="s">
        <v>890</v>
      </c>
      <c r="AG50" s="487" t="s">
        <v>899</v>
      </c>
      <c r="AH50" s="487" t="s">
        <v>892</v>
      </c>
      <c r="AI50" s="488" t="s">
        <v>1004</v>
      </c>
      <c r="AJ50" s="373"/>
      <c r="AK50" s="389"/>
      <c r="AL50" s="373" t="e">
        <f>Tabla1[[#This Row],[Alcanzado  2015]]+Tabla1[[#This Row],[Alcanzado  2016]]+Tabla1[[#This Row],[Alcanzado  2017]]+Tabla1[[#This Row],[Avance 2018]]</f>
        <v>#REF!</v>
      </c>
      <c r="AM50" s="373"/>
      <c r="AN50" s="570" t="e">
        <f>Tabla1[[#This Row],[META 2018]]-AL50</f>
        <v>#REF!</v>
      </c>
    </row>
    <row r="51" spans="1:40" s="357" customFormat="1" ht="66" hidden="1" x14ac:dyDescent="0.2">
      <c r="A51" s="1561"/>
      <c r="B51" s="1562"/>
      <c r="C51" s="1557" t="s">
        <v>1005</v>
      </c>
      <c r="D51" s="408" t="s">
        <v>1006</v>
      </c>
      <c r="E51" s="484" t="s">
        <v>889</v>
      </c>
      <c r="F51" s="485" t="s">
        <v>912</v>
      </c>
      <c r="G51" s="417">
        <v>9204915</v>
      </c>
      <c r="H51" s="486">
        <v>10704915</v>
      </c>
      <c r="I51" s="415">
        <v>9579915</v>
      </c>
      <c r="J51" s="416">
        <v>9954915</v>
      </c>
      <c r="K51" s="417">
        <v>10329915</v>
      </c>
      <c r="L51" s="415"/>
      <c r="M51" s="382"/>
      <c r="N51" s="383"/>
      <c r="O51" s="384"/>
      <c r="P51" s="416" t="e">
        <f>Tabla1[[#This Row],[Avance 1 trimestre ]]+Tabla1[[#This Row],[Avance  trimestre 2]]+Tabla1[[#This Row],[Avance  trimestre 3]]+Tabla1[[#This Row],[Avance  trimestre 4]]</f>
        <v>#REF!</v>
      </c>
      <c r="Q51" s="416"/>
      <c r="R51" s="416"/>
      <c r="S51" s="416"/>
      <c r="T51" s="416"/>
      <c r="U51" s="416">
        <f>'PLAN ESTRATEGICO'!M52</f>
        <v>0</v>
      </c>
      <c r="V51" s="416"/>
      <c r="W51" s="416"/>
      <c r="X51" s="416">
        <f>'PLAN ESTRATEGICO'!N52</f>
        <v>0</v>
      </c>
      <c r="Y51" s="486" t="e">
        <f>#REF!/#REF!</f>
        <v>#REF!</v>
      </c>
      <c r="Z51" s="486"/>
      <c r="AA51" s="486" t="e">
        <f>Tabla1[[#This Row],[Proyectado  trimestre 4]]/#REF!</f>
        <v>#REF!</v>
      </c>
      <c r="AB51" s="486"/>
      <c r="AC51" s="486"/>
      <c r="AD51" s="437" t="s">
        <v>949</v>
      </c>
      <c r="AE51" s="484" t="s">
        <v>883</v>
      </c>
      <c r="AF51" s="487" t="s">
        <v>890</v>
      </c>
      <c r="AG51" s="487" t="s">
        <v>899</v>
      </c>
      <c r="AH51" s="487" t="s">
        <v>892</v>
      </c>
      <c r="AI51" s="488" t="s">
        <v>961</v>
      </c>
      <c r="AJ51" s="373"/>
      <c r="AK51" s="389"/>
      <c r="AL51" s="373" t="e">
        <f>Tabla1[[#This Row],[Alcanzado  2015]]+Tabla1[[#This Row],[Alcanzado  2016]]+Tabla1[[#This Row],[Alcanzado  2017]]+Tabla1[[#This Row],[Avance 2018]]</f>
        <v>#REF!</v>
      </c>
      <c r="AM51" s="373"/>
      <c r="AN51" s="570" t="e">
        <f>Tabla1[[#This Row],[META 2018]]-AL51</f>
        <v>#REF!</v>
      </c>
    </row>
    <row r="52" spans="1:40" s="357" customFormat="1" ht="99" hidden="1" x14ac:dyDescent="0.2">
      <c r="A52" s="1561"/>
      <c r="B52" s="1562"/>
      <c r="C52" s="1557"/>
      <c r="D52" s="408" t="s">
        <v>1007</v>
      </c>
      <c r="E52" s="484" t="s">
        <v>889</v>
      </c>
      <c r="F52" s="485" t="s">
        <v>1008</v>
      </c>
      <c r="G52" s="417">
        <v>1845026</v>
      </c>
      <c r="H52" s="486">
        <v>2215000</v>
      </c>
      <c r="I52" s="415">
        <v>2065000</v>
      </c>
      <c r="J52" s="416">
        <v>2115000</v>
      </c>
      <c r="K52" s="417">
        <v>2165000</v>
      </c>
      <c r="L52" s="415"/>
      <c r="M52" s="382"/>
      <c r="N52" s="383"/>
      <c r="O52" s="384"/>
      <c r="P52" s="416" t="e">
        <f>Tabla1[[#This Row],[Avance 1 trimestre ]]+Tabla1[[#This Row],[Avance  trimestre 2]]+Tabla1[[#This Row],[Avance  trimestre 3]]+Tabla1[[#This Row],[Avance  trimestre 4]]</f>
        <v>#REF!</v>
      </c>
      <c r="Q52" s="416"/>
      <c r="R52" s="416"/>
      <c r="S52" s="416"/>
      <c r="T52" s="416"/>
      <c r="U52" s="416">
        <f>'PLAN ESTRATEGICO'!M53</f>
        <v>0</v>
      </c>
      <c r="V52" s="416"/>
      <c r="W52" s="416"/>
      <c r="X52" s="416">
        <f>'PLAN ESTRATEGICO'!N53</f>
        <v>0</v>
      </c>
      <c r="Y52" s="486" t="e">
        <f>#REF!/#REF!</f>
        <v>#REF!</v>
      </c>
      <c r="Z52" s="486"/>
      <c r="AA52" s="486" t="e">
        <f>Tabla1[[#This Row],[Proyectado  trimestre 4]]/#REF!</f>
        <v>#REF!</v>
      </c>
      <c r="AB52" s="486"/>
      <c r="AC52" s="486"/>
      <c r="AD52" s="437" t="s">
        <v>949</v>
      </c>
      <c r="AE52" s="484" t="s">
        <v>883</v>
      </c>
      <c r="AF52" s="487" t="s">
        <v>890</v>
      </c>
      <c r="AG52" s="487" t="s">
        <v>960</v>
      </c>
      <c r="AH52" s="487" t="s">
        <v>892</v>
      </c>
      <c r="AI52" s="488" t="s">
        <v>961</v>
      </c>
      <c r="AJ52" s="373"/>
      <c r="AK52" s="389"/>
      <c r="AL52" s="373" t="e">
        <f>Tabla1[[#This Row],[Alcanzado  2015]]+Tabla1[[#This Row],[Alcanzado  2016]]+Tabla1[[#This Row],[Alcanzado  2017]]+Tabla1[[#This Row],[Avance 2018]]</f>
        <v>#REF!</v>
      </c>
      <c r="AM52" s="373"/>
      <c r="AN52" s="570" t="e">
        <f>Tabla1[[#This Row],[META 2018]]-AL52</f>
        <v>#REF!</v>
      </c>
    </row>
    <row r="53" spans="1:40" s="357" customFormat="1" ht="99" hidden="1" x14ac:dyDescent="0.2">
      <c r="A53" s="1561"/>
      <c r="B53" s="1562"/>
      <c r="C53" s="1557"/>
      <c r="D53" s="408" t="s">
        <v>1009</v>
      </c>
      <c r="E53" s="484" t="s">
        <v>889</v>
      </c>
      <c r="F53" s="485" t="s">
        <v>912</v>
      </c>
      <c r="G53" s="380">
        <v>59</v>
      </c>
      <c r="H53" s="489">
        <v>62</v>
      </c>
      <c r="I53" s="378">
        <v>59.75</v>
      </c>
      <c r="J53" s="379">
        <v>60.5</v>
      </c>
      <c r="K53" s="380">
        <v>61.25</v>
      </c>
      <c r="L53" s="378"/>
      <c r="M53" s="382"/>
      <c r="N53" s="383"/>
      <c r="O53" s="384"/>
      <c r="P53" s="379" t="e">
        <f>Tabla1[[#This Row],[Avance 1 trimestre ]]+Tabla1[[#This Row],[Avance  trimestre 2]]+Tabla1[[#This Row],[Avance  trimestre 3]]+Tabla1[[#This Row],[Avance  trimestre 4]]</f>
        <v>#REF!</v>
      </c>
      <c r="Q53" s="379"/>
      <c r="R53" s="379"/>
      <c r="S53" s="379"/>
      <c r="T53" s="379"/>
      <c r="U53" s="379">
        <f>'PLAN ESTRATEGICO'!M54</f>
        <v>0</v>
      </c>
      <c r="V53" s="379"/>
      <c r="W53" s="379"/>
      <c r="X53" s="379">
        <f>'PLAN ESTRATEGICO'!N54</f>
        <v>0</v>
      </c>
      <c r="Y53" s="489" t="e">
        <f>#REF!/#REF!</f>
        <v>#REF!</v>
      </c>
      <c r="Z53" s="489"/>
      <c r="AA53" s="489" t="e">
        <f>Tabla1[[#This Row],[Proyectado  trimestre 4]]/#REF!</f>
        <v>#REF!</v>
      </c>
      <c r="AB53" s="489"/>
      <c r="AC53" s="489"/>
      <c r="AD53" s="437" t="s">
        <v>949</v>
      </c>
      <c r="AE53" s="484" t="s">
        <v>883</v>
      </c>
      <c r="AF53" s="487" t="s">
        <v>890</v>
      </c>
      <c r="AG53" s="487" t="s">
        <v>960</v>
      </c>
      <c r="AH53" s="487" t="s">
        <v>892</v>
      </c>
      <c r="AI53" s="488" t="s">
        <v>961</v>
      </c>
      <c r="AJ53" s="373"/>
      <c r="AK53" s="389"/>
      <c r="AL53" s="373" t="e">
        <f>Tabla1[[#This Row],[Alcanzado  2015]]+Tabla1[[#This Row],[Alcanzado  2016]]+Tabla1[[#This Row],[Alcanzado  2017]]+Tabla1[[#This Row],[Avance 2018]]</f>
        <v>#REF!</v>
      </c>
      <c r="AM53" s="373"/>
      <c r="AN53" s="570" t="e">
        <f>Tabla1[[#This Row],[META 2018]]-AL53</f>
        <v>#REF!</v>
      </c>
    </row>
    <row r="54" spans="1:40" s="357" customFormat="1" ht="237.75" hidden="1" customHeight="1" x14ac:dyDescent="0.2">
      <c r="A54" s="1561"/>
      <c r="B54" s="1562"/>
      <c r="C54" s="421" t="s">
        <v>1010</v>
      </c>
      <c r="D54" s="408" t="s">
        <v>1011</v>
      </c>
      <c r="E54" s="484" t="s">
        <v>880</v>
      </c>
      <c r="F54" s="490" t="s">
        <v>912</v>
      </c>
      <c r="G54" s="417">
        <v>15972</v>
      </c>
      <c r="H54" s="486">
        <v>1271000</v>
      </c>
      <c r="I54" s="415">
        <v>190051</v>
      </c>
      <c r="J54" s="416">
        <v>550000</v>
      </c>
      <c r="K54" s="417">
        <v>910000</v>
      </c>
      <c r="L54" s="415"/>
      <c r="M54" s="382"/>
      <c r="N54" s="383"/>
      <c r="O54" s="384"/>
      <c r="P54" s="416" t="e">
        <f>Tabla1[[#This Row],[Avance 1 trimestre ]]+Tabla1[[#This Row],[Avance  trimestre 2]]+Tabla1[[#This Row],[Avance  trimestre 3]]+Tabla1[[#This Row],[Avance  trimestre 4]]</f>
        <v>#REF!</v>
      </c>
      <c r="Q54" s="416"/>
      <c r="R54" s="416"/>
      <c r="S54" s="416"/>
      <c r="T54" s="416"/>
      <c r="U54" s="416">
        <f>'PLAN ESTRATEGICO'!M55</f>
        <v>0</v>
      </c>
      <c r="V54" s="416"/>
      <c r="W54" s="416"/>
      <c r="X54" s="416">
        <f>'PLAN ESTRATEGICO'!N55</f>
        <v>0</v>
      </c>
      <c r="Y54" s="486" t="e">
        <f>#REF!/#REF!</f>
        <v>#REF!</v>
      </c>
      <c r="Z54" s="486"/>
      <c r="AA54" s="486" t="e">
        <f>Tabla1[[#This Row],[Proyectado  trimestre 4]]/#REF!</f>
        <v>#REF!</v>
      </c>
      <c r="AB54" s="486"/>
      <c r="AC54" s="486"/>
      <c r="AD54" s="437" t="s">
        <v>949</v>
      </c>
      <c r="AE54" s="484" t="s">
        <v>883</v>
      </c>
      <c r="AF54" s="484" t="s">
        <v>890</v>
      </c>
      <c r="AG54" s="484" t="s">
        <v>960</v>
      </c>
      <c r="AH54" s="484" t="s">
        <v>1012</v>
      </c>
      <c r="AI54" s="491" t="s">
        <v>1012</v>
      </c>
      <c r="AJ54" s="373"/>
      <c r="AK54" s="389"/>
      <c r="AL54" s="373" t="e">
        <f>Tabla1[[#This Row],[Alcanzado  2015]]+Tabla1[[#This Row],[Alcanzado  2016]]+Tabla1[[#This Row],[Alcanzado  2017]]+Tabla1[[#This Row],[Avance 2018]]</f>
        <v>#REF!</v>
      </c>
      <c r="AM54" s="373"/>
      <c r="AN54" s="570" t="e">
        <f>Tabla1[[#This Row],[META 2018]]-AL54</f>
        <v>#REF!</v>
      </c>
    </row>
    <row r="55" spans="1:40" s="357" customFormat="1" ht="95.25" hidden="1" customHeight="1" thickBot="1" x14ac:dyDescent="0.25">
      <c r="A55" s="1561"/>
      <c r="B55" s="1562"/>
      <c r="C55" s="421" t="s">
        <v>1013</v>
      </c>
      <c r="D55" s="408" t="s">
        <v>1014</v>
      </c>
      <c r="E55" s="484" t="s">
        <v>932</v>
      </c>
      <c r="F55" s="490" t="s">
        <v>912</v>
      </c>
      <c r="G55" s="580">
        <v>0.93179999999999996</v>
      </c>
      <c r="H55" s="581">
        <v>1</v>
      </c>
      <c r="I55" s="582">
        <v>1</v>
      </c>
      <c r="J55" s="494">
        <v>1</v>
      </c>
      <c r="K55" s="500">
        <v>1</v>
      </c>
      <c r="L55" s="582"/>
      <c r="M55" s="382"/>
      <c r="N55" s="383"/>
      <c r="O55" s="384"/>
      <c r="P55" s="494" t="e">
        <f>Tabla1[[#This Row],[Avance 1 trimestre ]]+Tabla1[[#This Row],[Avance  trimestre 2]]+Tabla1[[#This Row],[Avance  trimestre 3]]+Tabla1[[#This Row],[Avance  trimestre 4]]</f>
        <v>#REF!</v>
      </c>
      <c r="Q55" s="494"/>
      <c r="R55" s="494"/>
      <c r="S55" s="494"/>
      <c r="T55" s="494"/>
      <c r="U55" s="494">
        <f>'PLAN ESTRATEGICO'!M56</f>
        <v>0</v>
      </c>
      <c r="V55" s="494"/>
      <c r="W55" s="494"/>
      <c r="X55" s="494">
        <f>'PLAN ESTRATEGICO'!N56</f>
        <v>0</v>
      </c>
      <c r="Y55" s="581" t="e">
        <f>#REF!/#REF!</f>
        <v>#REF!</v>
      </c>
      <c r="Z55" s="581"/>
      <c r="AA55" s="581" t="e">
        <f>Tabla1[[#This Row],[Proyectado  trimestre 4]]/#REF!</f>
        <v>#REF!</v>
      </c>
      <c r="AB55" s="493"/>
      <c r="AC55" s="493"/>
      <c r="AD55" s="495" t="s">
        <v>949</v>
      </c>
      <c r="AE55" s="492" t="s">
        <v>884</v>
      </c>
      <c r="AF55" s="492" t="s">
        <v>890</v>
      </c>
      <c r="AG55" s="492" t="s">
        <v>1015</v>
      </c>
      <c r="AH55" s="492" t="s">
        <v>1012</v>
      </c>
      <c r="AI55" s="496" t="s">
        <v>1012</v>
      </c>
      <c r="AJ55" s="400"/>
      <c r="AK55" s="401"/>
      <c r="AL55" s="373" t="e">
        <f>Tabla1[[#This Row],[Alcanzado  2015]]+Tabla1[[#This Row],[Alcanzado  2016]]+Tabla1[[#This Row],[Alcanzado  2017]]+Tabla1[[#This Row],[Avance 2018]]</f>
        <v>#REF!</v>
      </c>
      <c r="AM55" s="373"/>
      <c r="AN55" s="570" t="e">
        <f>Tabla1[[#This Row],[META 2018]]-AL55</f>
        <v>#REF!</v>
      </c>
    </row>
    <row r="56" spans="1:40" s="357" customFormat="1" ht="213" hidden="1" customHeight="1" x14ac:dyDescent="0.2">
      <c r="A56" s="1552" t="s">
        <v>1016</v>
      </c>
      <c r="B56" s="1554">
        <v>0.16</v>
      </c>
      <c r="C56" s="436" t="s">
        <v>1017</v>
      </c>
      <c r="D56" s="583" t="s">
        <v>1018</v>
      </c>
      <c r="E56" s="414" t="s">
        <v>932</v>
      </c>
      <c r="F56" s="375" t="s">
        <v>912</v>
      </c>
      <c r="G56" s="584">
        <v>0.99160000000000004</v>
      </c>
      <c r="H56" s="430">
        <v>1</v>
      </c>
      <c r="I56" s="456">
        <v>1</v>
      </c>
      <c r="J56" s="457">
        <v>1</v>
      </c>
      <c r="K56" s="458">
        <v>1</v>
      </c>
      <c r="L56" s="456"/>
      <c r="M56" s="459"/>
      <c r="N56" s="383"/>
      <c r="O56" s="460"/>
      <c r="P56" s="457" t="e">
        <f>Tabla1[[#This Row],[Avance 1 trimestre ]]+Tabla1[[#This Row],[Avance  trimestre 2]]+Tabla1[[#This Row],[Avance  trimestre 3]]+Tabla1[[#This Row],[Avance  trimestre 4]]</f>
        <v>#REF!</v>
      </c>
      <c r="Q56" s="457"/>
      <c r="R56" s="457"/>
      <c r="S56" s="457"/>
      <c r="T56" s="457"/>
      <c r="U56" s="457">
        <f>'PLAN ESTRATEGICO'!M57</f>
        <v>0</v>
      </c>
      <c r="V56" s="457"/>
      <c r="W56" s="457"/>
      <c r="X56" s="457">
        <f>'PLAN ESTRATEGICO'!N57</f>
        <v>0</v>
      </c>
      <c r="Y56" s="430" t="e">
        <f>#REF!/#REF!</f>
        <v>#REF!</v>
      </c>
      <c r="Z56" s="430"/>
      <c r="AA56" s="430" t="e">
        <f>Tabla1[[#This Row],[Proyectado  trimestre 4]]/#REF!</f>
        <v>#REF!</v>
      </c>
      <c r="AB56" s="497"/>
      <c r="AC56" s="497"/>
      <c r="AD56" s="498"/>
      <c r="AE56" s="368"/>
      <c r="AF56" s="368" t="s">
        <v>1019</v>
      </c>
      <c r="AG56" s="368" t="s">
        <v>1020</v>
      </c>
      <c r="AH56" s="368" t="s">
        <v>892</v>
      </c>
      <c r="AI56" s="406" t="s">
        <v>1021</v>
      </c>
      <c r="AJ56" s="371"/>
      <c r="AK56" s="372"/>
      <c r="AL56" s="373" t="e">
        <f>Tabla1[[#This Row],[Alcanzado  2015]]+Tabla1[[#This Row],[Alcanzado  2016]]+Tabla1[[#This Row],[Alcanzado  2017]]+Tabla1[[#This Row],[Avance 2018]]</f>
        <v>#REF!</v>
      </c>
      <c r="AM56" s="373"/>
      <c r="AN56" s="570" t="e">
        <f>Tabla1[[#This Row],[META 2018]]-AL56</f>
        <v>#REF!</v>
      </c>
    </row>
    <row r="57" spans="1:40" s="357" customFormat="1" ht="172.5" hidden="1" customHeight="1" x14ac:dyDescent="0.2">
      <c r="A57" s="1552"/>
      <c r="B57" s="1554"/>
      <c r="C57" s="499" t="s">
        <v>1022</v>
      </c>
      <c r="D57" s="408" t="s">
        <v>1023</v>
      </c>
      <c r="E57" s="375" t="s">
        <v>932</v>
      </c>
      <c r="F57" s="375" t="s">
        <v>912</v>
      </c>
      <c r="G57" s="447">
        <v>4000</v>
      </c>
      <c r="H57" s="414">
        <v>17500</v>
      </c>
      <c r="I57" s="415">
        <v>4000</v>
      </c>
      <c r="J57" s="416">
        <v>4500</v>
      </c>
      <c r="K57" s="417">
        <v>4500</v>
      </c>
      <c r="L57" s="415"/>
      <c r="M57" s="382"/>
      <c r="N57" s="383"/>
      <c r="O57" s="384"/>
      <c r="P57" s="416" t="e">
        <f>Tabla1[[#This Row],[Avance 1 trimestre ]]+Tabla1[[#This Row],[Avance  trimestre 2]]+Tabla1[[#This Row],[Avance  trimestre 3]]+Tabla1[[#This Row],[Avance  trimestre 4]]</f>
        <v>#REF!</v>
      </c>
      <c r="Q57" s="416"/>
      <c r="R57" s="416"/>
      <c r="S57" s="416"/>
      <c r="T57" s="416"/>
      <c r="U57" s="416">
        <f>'PLAN ESTRATEGICO'!M58</f>
        <v>0</v>
      </c>
      <c r="V57" s="416"/>
      <c r="W57" s="416"/>
      <c r="X57" s="416">
        <f>'PLAN ESTRATEGICO'!N58</f>
        <v>0</v>
      </c>
      <c r="Y57" s="414" t="e">
        <f>#REF!/#REF!</f>
        <v>#REF!</v>
      </c>
      <c r="Z57" s="414"/>
      <c r="AA57" s="414" t="e">
        <f>Tabla1[[#This Row],[Proyectado  trimestre 4]]/#REF!</f>
        <v>#REF!</v>
      </c>
      <c r="AB57" s="414"/>
      <c r="AC57" s="414"/>
      <c r="AD57" s="374"/>
      <c r="AE57" s="375"/>
      <c r="AF57" s="375" t="s">
        <v>1019</v>
      </c>
      <c r="AG57" s="375" t="s">
        <v>1024</v>
      </c>
      <c r="AH57" s="375" t="s">
        <v>914</v>
      </c>
      <c r="AI57" s="413" t="s">
        <v>914</v>
      </c>
      <c r="AJ57" s="373"/>
      <c r="AK57" s="389"/>
      <c r="AL57" s="373" t="e">
        <f>Tabla1[[#This Row],[Alcanzado  2015]]+Tabla1[[#This Row],[Alcanzado  2016]]+Tabla1[[#This Row],[Alcanzado  2017]]+Tabla1[[#This Row],[Avance 2018]]</f>
        <v>#REF!</v>
      </c>
      <c r="AM57" s="373"/>
      <c r="AN57" s="570" t="e">
        <f>Tabla1[[#This Row],[META 2018]]-AL57</f>
        <v>#REF!</v>
      </c>
    </row>
    <row r="58" spans="1:40" s="357" customFormat="1" ht="45" hidden="1" customHeight="1" x14ac:dyDescent="0.2">
      <c r="A58" s="1552"/>
      <c r="B58" s="1554"/>
      <c r="C58" s="1558" t="s">
        <v>1025</v>
      </c>
      <c r="D58" s="408" t="s">
        <v>1026</v>
      </c>
      <c r="E58" s="375" t="s">
        <v>932</v>
      </c>
      <c r="F58" s="474" t="s">
        <v>1027</v>
      </c>
      <c r="G58" s="474">
        <v>0</v>
      </c>
      <c r="H58" s="474">
        <v>1</v>
      </c>
      <c r="I58" s="474">
        <v>1</v>
      </c>
      <c r="J58" s="494">
        <v>1</v>
      </c>
      <c r="K58" s="500">
        <v>1</v>
      </c>
      <c r="L58" s="474"/>
      <c r="M58" s="383"/>
      <c r="N58" s="383"/>
      <c r="O58" s="384"/>
      <c r="P58" s="494" t="e">
        <f>Tabla1[[#This Row],[Avance 1 trimestre ]]+Tabla1[[#This Row],[Avance  trimestre 2]]+Tabla1[[#This Row],[Avance  trimestre 3]]+Tabla1[[#This Row],[Avance  trimestre 4]]</f>
        <v>#REF!</v>
      </c>
      <c r="Q58" s="494"/>
      <c r="R58" s="494"/>
      <c r="S58" s="494"/>
      <c r="T58" s="494"/>
      <c r="U58" s="494">
        <f>'PLAN ESTRATEGICO'!M59</f>
        <v>0</v>
      </c>
      <c r="V58" s="494"/>
      <c r="W58" s="494"/>
      <c r="X58" s="494">
        <f>'PLAN ESTRATEGICO'!N59</f>
        <v>0</v>
      </c>
      <c r="Y58" s="474" t="e">
        <f>#REF!/#REF!</f>
        <v>#REF!</v>
      </c>
      <c r="Z58" s="474"/>
      <c r="AA58" s="474" t="e">
        <f>Tabla1[[#This Row],[Proyectado  trimestre 4]]/#REF!</f>
        <v>#REF!</v>
      </c>
      <c r="AB58" s="474"/>
      <c r="AC58" s="474"/>
      <c r="AD58" s="501"/>
      <c r="AE58" s="375"/>
      <c r="AF58" s="375" t="s">
        <v>1019</v>
      </c>
      <c r="AG58" s="375" t="s">
        <v>1028</v>
      </c>
      <c r="AH58" s="375" t="s">
        <v>892</v>
      </c>
      <c r="AI58" s="413" t="s">
        <v>1029</v>
      </c>
      <c r="AJ58" s="373"/>
      <c r="AK58" s="389"/>
      <c r="AL58" s="373" t="e">
        <f>Tabla1[[#This Row],[Alcanzado  2015]]+Tabla1[[#This Row],[Alcanzado  2016]]+Tabla1[[#This Row],[Alcanzado  2017]]+Tabla1[[#This Row],[Avance 2018]]</f>
        <v>#REF!</v>
      </c>
      <c r="AM58" s="373"/>
      <c r="AN58" s="570" t="e">
        <f>Tabla1[[#This Row],[META 2018]]-AL58</f>
        <v>#REF!</v>
      </c>
    </row>
    <row r="59" spans="1:40" s="357" customFormat="1" ht="49.5" hidden="1" x14ac:dyDescent="0.2">
      <c r="A59" s="1552"/>
      <c r="B59" s="1554"/>
      <c r="C59" s="1558"/>
      <c r="D59" s="408" t="s">
        <v>1026</v>
      </c>
      <c r="E59" s="375" t="s">
        <v>932</v>
      </c>
      <c r="F59" s="474" t="s">
        <v>1027</v>
      </c>
      <c r="G59" s="474">
        <v>0</v>
      </c>
      <c r="H59" s="474">
        <v>1</v>
      </c>
      <c r="I59" s="474">
        <v>1</v>
      </c>
      <c r="J59" s="494">
        <v>1</v>
      </c>
      <c r="K59" s="500">
        <v>1</v>
      </c>
      <c r="L59" s="474"/>
      <c r="M59" s="383"/>
      <c r="N59" s="383"/>
      <c r="O59" s="384"/>
      <c r="P59" s="494" t="e">
        <f>Tabla1[[#This Row],[Avance 1 trimestre ]]+Tabla1[[#This Row],[Avance  trimestre 2]]+Tabla1[[#This Row],[Avance  trimestre 3]]+Tabla1[[#This Row],[Avance  trimestre 4]]</f>
        <v>#REF!</v>
      </c>
      <c r="Q59" s="494"/>
      <c r="R59" s="494"/>
      <c r="S59" s="494"/>
      <c r="T59" s="494"/>
      <c r="U59" s="494">
        <f>'PLAN ESTRATEGICO'!M60</f>
        <v>0</v>
      </c>
      <c r="V59" s="494"/>
      <c r="W59" s="494"/>
      <c r="X59" s="494">
        <f>'PLAN ESTRATEGICO'!N60</f>
        <v>0</v>
      </c>
      <c r="Y59" s="474" t="e">
        <f>#REF!/#REF!</f>
        <v>#REF!</v>
      </c>
      <c r="Z59" s="474"/>
      <c r="AA59" s="474" t="e">
        <f>Tabla1[[#This Row],[Proyectado  trimestre 4]]/#REF!</f>
        <v>#REF!</v>
      </c>
      <c r="AB59" s="474"/>
      <c r="AC59" s="474"/>
      <c r="AD59" s="501"/>
      <c r="AE59" s="375"/>
      <c r="AF59" s="375" t="s">
        <v>1019</v>
      </c>
      <c r="AG59" s="375" t="s">
        <v>1028</v>
      </c>
      <c r="AH59" s="375" t="s">
        <v>914</v>
      </c>
      <c r="AI59" s="413" t="s">
        <v>1029</v>
      </c>
      <c r="AJ59" s="373"/>
      <c r="AK59" s="389"/>
      <c r="AL59" s="373" t="e">
        <f>Tabla1[[#This Row],[Alcanzado  2015]]+Tabla1[[#This Row],[Alcanzado  2016]]+Tabla1[[#This Row],[Alcanzado  2017]]+Tabla1[[#This Row],[Avance 2018]]</f>
        <v>#REF!</v>
      </c>
      <c r="AM59" s="373"/>
      <c r="AN59" s="570" t="e">
        <f>Tabla1[[#This Row],[META 2018]]-AL59</f>
        <v>#REF!</v>
      </c>
    </row>
    <row r="60" spans="1:40" s="357" customFormat="1" ht="49.5" hidden="1" x14ac:dyDescent="0.2">
      <c r="A60" s="1552"/>
      <c r="B60" s="1554"/>
      <c r="C60" s="1558"/>
      <c r="D60" s="408" t="s">
        <v>1026</v>
      </c>
      <c r="E60" s="375" t="s">
        <v>932</v>
      </c>
      <c r="F60" s="474" t="s">
        <v>1027</v>
      </c>
      <c r="G60" s="474">
        <v>0</v>
      </c>
      <c r="H60" s="474">
        <v>1</v>
      </c>
      <c r="I60" s="474">
        <v>1</v>
      </c>
      <c r="J60" s="494">
        <v>1</v>
      </c>
      <c r="K60" s="500">
        <v>1</v>
      </c>
      <c r="L60" s="474"/>
      <c r="M60" s="383"/>
      <c r="N60" s="383"/>
      <c r="O60" s="384"/>
      <c r="P60" s="494" t="e">
        <f>Tabla1[[#This Row],[Avance 1 trimestre ]]+Tabla1[[#This Row],[Avance  trimestre 2]]+Tabla1[[#This Row],[Avance  trimestre 3]]+Tabla1[[#This Row],[Avance  trimestre 4]]</f>
        <v>#REF!</v>
      </c>
      <c r="Q60" s="494"/>
      <c r="R60" s="494"/>
      <c r="S60" s="494"/>
      <c r="T60" s="494"/>
      <c r="U60" s="494">
        <f>'PLAN ESTRATEGICO'!M61</f>
        <v>0</v>
      </c>
      <c r="V60" s="494"/>
      <c r="W60" s="494"/>
      <c r="X60" s="494">
        <f>'PLAN ESTRATEGICO'!N61</f>
        <v>0</v>
      </c>
      <c r="Y60" s="474" t="e">
        <f>#REF!/#REF!</f>
        <v>#REF!</v>
      </c>
      <c r="Z60" s="474"/>
      <c r="AA60" s="474" t="e">
        <f>Tabla1[[#This Row],[Proyectado  trimestre 4]]/#REF!</f>
        <v>#REF!</v>
      </c>
      <c r="AB60" s="474"/>
      <c r="AC60" s="474"/>
      <c r="AD60" s="501"/>
      <c r="AE60" s="375"/>
      <c r="AF60" s="375" t="s">
        <v>1019</v>
      </c>
      <c r="AG60" s="375" t="s">
        <v>1028</v>
      </c>
      <c r="AH60" s="375" t="s">
        <v>1012</v>
      </c>
      <c r="AI60" s="413" t="s">
        <v>1029</v>
      </c>
      <c r="AJ60" s="373"/>
      <c r="AK60" s="389"/>
      <c r="AL60" s="373" t="e">
        <f>Tabla1[[#This Row],[Alcanzado  2015]]+Tabla1[[#This Row],[Alcanzado  2016]]+Tabla1[[#This Row],[Alcanzado  2017]]+Tabla1[[#This Row],[Avance 2018]]</f>
        <v>#REF!</v>
      </c>
      <c r="AM60" s="373"/>
      <c r="AN60" s="570" t="e">
        <f>Tabla1[[#This Row],[META 2018]]-AL60</f>
        <v>#REF!</v>
      </c>
    </row>
    <row r="61" spans="1:40" s="357" customFormat="1" ht="66.75" customHeight="1" thickBot="1" x14ac:dyDescent="0.25">
      <c r="A61" s="1552"/>
      <c r="B61" s="1554"/>
      <c r="C61" s="1558"/>
      <c r="D61" s="594" t="s">
        <v>1026</v>
      </c>
      <c r="E61" s="375" t="s">
        <v>932</v>
      </c>
      <c r="F61" s="523" t="s">
        <v>1027</v>
      </c>
      <c r="G61" s="521">
        <v>0</v>
      </c>
      <c r="H61" s="521">
        <v>1</v>
      </c>
      <c r="I61" s="474">
        <v>1</v>
      </c>
      <c r="J61" s="494">
        <v>1</v>
      </c>
      <c r="K61" s="500">
        <v>1</v>
      </c>
      <c r="L61" s="474">
        <v>1</v>
      </c>
      <c r="M61" s="502">
        <v>1</v>
      </c>
      <c r="N61" s="502">
        <v>1</v>
      </c>
      <c r="O61" s="885">
        <v>0.98</v>
      </c>
      <c r="P61" s="613">
        <f>Tabla1[[#This Row],[Avance 1 trimestre ]]+Tabla1[[#This Row],[Avance  trimestre 2]]+Tabla1[[#This Row],[Avance  trimestre 3]]+Tabla1[[#This Row],[Avance  trimestre 4]]</f>
        <v>0</v>
      </c>
      <c r="Q61" s="585"/>
      <c r="R61" s="585">
        <f>GPyE!BK34</f>
        <v>0</v>
      </c>
      <c r="S61" s="585"/>
      <c r="T61" s="503"/>
      <c r="U61" s="503">
        <f>GPyE!BK35</f>
        <v>0</v>
      </c>
      <c r="V61" s="503"/>
      <c r="W61" s="504"/>
      <c r="X61" s="504">
        <f>GPyE!BK36</f>
        <v>0</v>
      </c>
      <c r="Y61" s="444"/>
      <c r="Z61" s="586"/>
      <c r="AA61" s="614">
        <f>GPyE!BK37</f>
        <v>0</v>
      </c>
      <c r="AB61" s="506"/>
      <c r="AC61" s="474"/>
      <c r="AD61" s="501"/>
      <c r="AE61" s="375"/>
      <c r="AF61" s="375" t="s">
        <v>1019</v>
      </c>
      <c r="AG61" s="375" t="s">
        <v>1028</v>
      </c>
      <c r="AH61" s="387" t="s">
        <v>886</v>
      </c>
      <c r="AI61" s="413" t="s">
        <v>1029</v>
      </c>
      <c r="AJ61" s="373"/>
      <c r="AK61" s="389"/>
      <c r="AL61" s="373">
        <f>Tabla1[[#This Row],[Alcanzado  2015]]+Tabla1[[#This Row],[Alcanzado  2016]]+Tabla1[[#This Row],[Alcanzado  2017]]+Tabla1[[#This Row],[Avance 2018]]</f>
        <v>2.98</v>
      </c>
      <c r="AM61" s="373"/>
      <c r="AN61" s="570">
        <f>Tabla1[[#This Row],[META 2018]]-AL61</f>
        <v>-1.98</v>
      </c>
    </row>
    <row r="62" spans="1:40" ht="16.5" x14ac:dyDescent="0.25">
      <c r="A62" s="345"/>
      <c r="B62" s="345"/>
      <c r="C62" s="508"/>
      <c r="D62" s="886"/>
      <c r="E62" s="887"/>
      <c r="F62" s="888"/>
      <c r="G62" s="888"/>
      <c r="H62" s="888"/>
      <c r="I62" s="888"/>
      <c r="J62" s="888"/>
      <c r="K62" s="888"/>
      <c r="L62" s="888"/>
      <c r="M62" s="888"/>
      <c r="N62" s="888"/>
      <c r="O62" s="889" t="s">
        <v>1441</v>
      </c>
      <c r="P62" s="890" t="e">
        <f>Tabla1[[#This Row],[Avance 1 trimestre ]]+Tabla1[[#This Row],[Avance  trimestre 2]]+Tabla1[[#This Row],[Avance  trimestre 3]]+Tabla1[[#This Row],[Avance  trimestre 4]]</f>
        <v>#REF!</v>
      </c>
      <c r="Q62" s="891"/>
      <c r="R62" s="891"/>
      <c r="S62" s="891"/>
      <c r="T62" s="891"/>
      <c r="U62" s="892">
        <f>'PLAN ESTRATEGICO'!M63</f>
        <v>0</v>
      </c>
      <c r="V62" s="891"/>
      <c r="W62" s="891"/>
      <c r="X62" s="892">
        <f>'PLAN ESTRATEGICO'!N63</f>
        <v>0</v>
      </c>
      <c r="Y62" s="893" t="e">
        <f>#REF!/#REF!</f>
        <v>#REF!</v>
      </c>
      <c r="Z62" s="893"/>
      <c r="AA62" s="893" t="e">
        <f>Tabla1[[#This Row],[Proyectado  trimestre 4]]/#REF!</f>
        <v>#REF!</v>
      </c>
      <c r="AB62" s="893"/>
      <c r="AC62" s="888"/>
      <c r="AD62" s="894"/>
      <c r="AE62" s="887"/>
      <c r="AF62" s="887"/>
      <c r="AG62" s="887"/>
      <c r="AH62" s="895"/>
      <c r="AI62" s="507"/>
    </row>
    <row r="63" spans="1:40" ht="18.75" x14ac:dyDescent="0.25">
      <c r="A63" s="511"/>
      <c r="C63" s="508"/>
      <c r="D63" s="509"/>
      <c r="E63" s="510"/>
      <c r="F63" s="510"/>
      <c r="G63" s="510"/>
      <c r="H63" s="510"/>
      <c r="I63" s="510"/>
      <c r="J63" s="510"/>
      <c r="K63" s="510"/>
      <c r="L63" s="510"/>
      <c r="M63" s="510"/>
      <c r="N63" s="510"/>
      <c r="O63" s="510"/>
      <c r="P63" s="510"/>
      <c r="Q63" s="510"/>
      <c r="R63" s="510"/>
      <c r="S63" s="510"/>
      <c r="T63" s="510"/>
      <c r="U63" s="510"/>
      <c r="V63" s="510"/>
      <c r="W63" s="510"/>
      <c r="X63" s="510"/>
      <c r="Y63" s="512" t="e">
        <f t="shared" ref="Y63" si="0">AVERAGE(Y2,Y11,Y34,Y35,Y36,Y37,Y61)</f>
        <v>#DIV/0!</v>
      </c>
      <c r="Z63" s="512"/>
      <c r="AA63" s="512"/>
      <c r="AB63" s="512"/>
      <c r="AC63" s="510"/>
      <c r="AD63" s="510"/>
      <c r="AE63" s="510"/>
      <c r="AF63" s="510"/>
      <c r="AG63" s="510"/>
      <c r="AH63" s="510"/>
      <c r="AI63" s="507" t="s">
        <v>1030</v>
      </c>
    </row>
    <row r="64" spans="1:40" x14ac:dyDescent="0.25">
      <c r="A64" s="511"/>
      <c r="AI64" s="345" t="s">
        <v>1030</v>
      </c>
    </row>
    <row r="65" spans="3:40" x14ac:dyDescent="0.25">
      <c r="D65" s="515"/>
      <c r="Z65" s="516"/>
      <c r="AA65" s="516"/>
      <c r="AB65" s="516"/>
      <c r="AC65" s="516"/>
      <c r="AD65" s="516"/>
      <c r="AE65" s="516"/>
    </row>
    <row r="66" spans="3:40" x14ac:dyDescent="0.25">
      <c r="D66" s="515"/>
      <c r="Z66" s="516"/>
      <c r="AA66" s="516"/>
      <c r="AB66" s="516"/>
      <c r="AC66" s="516"/>
      <c r="AD66" s="516"/>
    </row>
    <row r="67" spans="3:40" x14ac:dyDescent="0.25">
      <c r="D67" s="515"/>
    </row>
    <row r="68" spans="3:40" x14ac:dyDescent="0.25">
      <c r="D68" s="515"/>
    </row>
    <row r="69" spans="3:40" x14ac:dyDescent="0.25">
      <c r="D69" s="515"/>
    </row>
    <row r="70" spans="3:40" s="357" customFormat="1" x14ac:dyDescent="0.25">
      <c r="C70" s="513"/>
      <c r="D70" s="515"/>
      <c r="AI70" s="345"/>
      <c r="AJ70" s="345"/>
      <c r="AK70" s="345"/>
      <c r="AL70" s="345"/>
      <c r="AM70" s="345"/>
      <c r="AN70" s="345"/>
    </row>
    <row r="71" spans="3:40" s="357" customFormat="1" x14ac:dyDescent="0.25">
      <c r="C71" s="513"/>
      <c r="D71" s="515"/>
      <c r="AI71" s="345"/>
      <c r="AJ71" s="345"/>
      <c r="AK71" s="345"/>
      <c r="AL71" s="345"/>
      <c r="AM71" s="345"/>
      <c r="AN71" s="345"/>
    </row>
    <row r="72" spans="3:40" s="357" customFormat="1" x14ac:dyDescent="0.25">
      <c r="C72" s="513"/>
      <c r="D72" s="515"/>
      <c r="AI72" s="345"/>
      <c r="AJ72" s="345"/>
      <c r="AK72" s="345"/>
      <c r="AL72" s="345"/>
      <c r="AM72" s="345"/>
      <c r="AN72" s="345"/>
    </row>
    <row r="73" spans="3:40" s="357" customFormat="1" x14ac:dyDescent="0.25">
      <c r="C73" s="513"/>
      <c r="D73" s="515"/>
      <c r="AI73" s="345"/>
      <c r="AJ73" s="345"/>
      <c r="AK73" s="345"/>
      <c r="AL73" s="345"/>
      <c r="AM73" s="345"/>
      <c r="AN73" s="345"/>
    </row>
    <row r="74" spans="3:40" s="357" customFormat="1" x14ac:dyDescent="0.25">
      <c r="C74" s="513"/>
      <c r="D74" s="515"/>
      <c r="AI74" s="345"/>
      <c r="AJ74" s="345"/>
      <c r="AK74" s="345"/>
      <c r="AL74" s="345"/>
      <c r="AM74" s="345"/>
      <c r="AN74" s="345"/>
    </row>
    <row r="75" spans="3:40" s="357" customFormat="1" x14ac:dyDescent="0.25">
      <c r="C75" s="513"/>
      <c r="D75" s="515"/>
      <c r="AI75" s="345"/>
      <c r="AJ75" s="345"/>
      <c r="AK75" s="345"/>
      <c r="AL75" s="345"/>
      <c r="AM75" s="345"/>
      <c r="AN75" s="345"/>
    </row>
    <row r="86" spans="3:40" s="357" customFormat="1" x14ac:dyDescent="0.25">
      <c r="C86" s="513"/>
      <c r="D86" s="514"/>
      <c r="M86" s="357">
        <f>1700*4</f>
        <v>6800</v>
      </c>
      <c r="AI86" s="345"/>
      <c r="AJ86" s="345"/>
      <c r="AK86" s="345"/>
      <c r="AL86" s="345"/>
      <c r="AM86" s="345"/>
      <c r="AN86" s="345"/>
    </row>
  </sheetData>
  <autoFilter ref="AI1:AI61"/>
  <mergeCells count="18">
    <mergeCell ref="A49:A55"/>
    <mergeCell ref="B49:B55"/>
    <mergeCell ref="C51:C53"/>
    <mergeCell ref="A56:A61"/>
    <mergeCell ref="B56:B61"/>
    <mergeCell ref="C58:C61"/>
    <mergeCell ref="A21:A48"/>
    <mergeCell ref="B21:B48"/>
    <mergeCell ref="C22:C23"/>
    <mergeCell ref="C27:C31"/>
    <mergeCell ref="C34:C37"/>
    <mergeCell ref="C38:C48"/>
    <mergeCell ref="A2:A4"/>
    <mergeCell ref="B2:B4"/>
    <mergeCell ref="C3:C4"/>
    <mergeCell ref="A5:A20"/>
    <mergeCell ref="B5:B20"/>
    <mergeCell ref="C16:C20"/>
  </mergeCells>
  <printOptions horizontalCentered="1" verticalCentered="1"/>
  <pageMargins left="0" right="0" top="0" bottom="0" header="0.51181102362204722" footer="0.51181102362204722"/>
  <pageSetup paperSize="41" scale="55" fitToHeight="6" orientation="landscape" horizontalDpi="2400" verticalDpi="2400" r:id="rId1"/>
  <rowBreaks count="2" manualBreakCount="2">
    <brk id="25" max="16383" man="1"/>
    <brk id="55" max="16383" man="1"/>
  </rowBreaks>
  <legacy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12" activePane="bottomRight" state="frozen"/>
      <selection activeCell="N20" sqref="N20"/>
      <selection pane="topRight" activeCell="N20" sqref="N20"/>
      <selection pane="bottomLeft" activeCell="N20" sqref="N20"/>
      <selection pane="bottomRight" activeCell="N20" sqref="N20"/>
    </sheetView>
  </sheetViews>
  <sheetFormatPr baseColWidth="10" defaultColWidth="14.42578125" defaultRowHeight="15" customHeight="1" x14ac:dyDescent="0.25"/>
  <cols>
    <col min="1" max="1" width="2.28515625" style="526" customWidth="1"/>
    <col min="2" max="2" width="15.5703125" style="562" customWidth="1"/>
    <col min="3" max="3" width="19.42578125" style="562" customWidth="1"/>
    <col min="4" max="10" width="10.7109375" style="562" customWidth="1"/>
    <col min="11" max="11" width="9" style="562" customWidth="1"/>
    <col min="12" max="26" width="14.42578125" style="526"/>
    <col min="27" max="27" width="0" style="526" hidden="1" customWidth="1"/>
    <col min="28" max="16384" width="14.42578125" style="526"/>
  </cols>
  <sheetData>
    <row r="1" spans="1:27" ht="15.75" thickBot="1" x14ac:dyDescent="0.3">
      <c r="A1" s="524"/>
      <c r="B1" s="525"/>
      <c r="C1" s="525"/>
      <c r="D1" s="525"/>
      <c r="E1" s="525"/>
      <c r="F1" s="525"/>
      <c r="G1" s="525"/>
      <c r="H1" s="525"/>
      <c r="I1" s="525"/>
      <c r="J1" s="525"/>
      <c r="K1" s="525"/>
    </row>
    <row r="2" spans="1:27" ht="37.5" customHeight="1" x14ac:dyDescent="0.3">
      <c r="A2" s="524"/>
      <c r="B2" s="1563" t="s">
        <v>1031</v>
      </c>
      <c r="C2" s="1564"/>
      <c r="D2" s="1564"/>
      <c r="E2" s="1564"/>
      <c r="F2" s="1564"/>
      <c r="G2" s="1564"/>
      <c r="H2" s="1564"/>
      <c r="I2" s="1564"/>
      <c r="J2" s="1564"/>
      <c r="K2" s="1565"/>
    </row>
    <row r="3" spans="1:27" ht="18" customHeight="1" x14ac:dyDescent="0.25">
      <c r="A3" s="524"/>
      <c r="B3" s="1566" t="s">
        <v>1032</v>
      </c>
      <c r="C3" s="1567"/>
      <c r="D3" s="1567"/>
      <c r="E3" s="1567"/>
      <c r="F3" s="1567"/>
      <c r="G3" s="1567"/>
      <c r="H3" s="1567"/>
      <c r="I3" s="1567"/>
      <c r="J3" s="1567"/>
      <c r="K3" s="1568"/>
    </row>
    <row r="4" spans="1:27" ht="12" customHeight="1" x14ac:dyDescent="0.25">
      <c r="A4" s="524"/>
      <c r="B4" s="1569"/>
      <c r="C4" s="1570"/>
      <c r="D4" s="1570"/>
      <c r="E4" s="1570"/>
      <c r="F4" s="1570"/>
      <c r="G4" s="1570"/>
      <c r="H4" s="1570"/>
      <c r="I4" s="1570"/>
      <c r="J4" s="1570"/>
      <c r="K4" s="1571"/>
    </row>
    <row r="5" spans="1:27" ht="18.75" x14ac:dyDescent="0.3">
      <c r="A5" s="524"/>
      <c r="B5" s="1572" t="s">
        <v>1033</v>
      </c>
      <c r="C5" s="1573"/>
      <c r="D5" s="1573"/>
      <c r="E5" s="1573"/>
      <c r="F5" s="1573"/>
      <c r="G5" s="1573"/>
      <c r="H5" s="1573"/>
      <c r="I5" s="1573"/>
      <c r="J5" s="1573"/>
      <c r="K5" s="1574"/>
    </row>
    <row r="6" spans="1:27" ht="50.25" customHeight="1" x14ac:dyDescent="0.25">
      <c r="A6" s="524"/>
      <c r="B6" s="1575" t="s">
        <v>1034</v>
      </c>
      <c r="C6" s="1576"/>
      <c r="D6" s="1577" t="s">
        <v>1035</v>
      </c>
      <c r="E6" s="1578"/>
      <c r="F6" s="1578"/>
      <c r="G6" s="1578"/>
      <c r="H6" s="1578"/>
      <c r="I6" s="1578"/>
      <c r="J6" s="1578"/>
      <c r="K6" s="1579"/>
      <c r="AA6" s="527" t="s">
        <v>1036</v>
      </c>
    </row>
    <row r="7" spans="1:27" ht="39" customHeight="1" x14ac:dyDescent="0.25">
      <c r="A7" s="524"/>
      <c r="B7" s="1585" t="s">
        <v>1037</v>
      </c>
      <c r="C7" s="1586"/>
      <c r="D7" s="1587" t="s">
        <v>1038</v>
      </c>
      <c r="E7" s="1587"/>
      <c r="F7" s="1587"/>
      <c r="G7" s="1587"/>
      <c r="H7" s="1587"/>
      <c r="I7" s="1587"/>
      <c r="J7" s="1587"/>
      <c r="K7" s="1588"/>
      <c r="AA7" s="527" t="s">
        <v>1039</v>
      </c>
    </row>
    <row r="8" spans="1:27" ht="89.25" customHeight="1" x14ac:dyDescent="0.25">
      <c r="A8" s="524"/>
      <c r="B8" s="1589" t="s">
        <v>1040</v>
      </c>
      <c r="C8" s="1590"/>
      <c r="D8" s="1591" t="s">
        <v>1041</v>
      </c>
      <c r="E8" s="1592"/>
      <c r="F8" s="1592"/>
      <c r="G8" s="1592"/>
      <c r="H8" s="1592"/>
      <c r="I8" s="1592"/>
      <c r="J8" s="1592"/>
      <c r="K8" s="1593"/>
      <c r="AA8" s="527" t="s">
        <v>1042</v>
      </c>
    </row>
    <row r="9" spans="1:27" ht="39.75" customHeight="1" x14ac:dyDescent="0.25">
      <c r="A9" s="524"/>
      <c r="B9" s="1594" t="s">
        <v>1043</v>
      </c>
      <c r="C9" s="1595"/>
      <c r="D9" s="1596" t="s">
        <v>1044</v>
      </c>
      <c r="E9" s="1597"/>
      <c r="F9" s="1597"/>
      <c r="G9" s="1597"/>
      <c r="H9" s="1597"/>
      <c r="I9" s="1597"/>
      <c r="J9" s="1597"/>
      <c r="K9" s="1598"/>
      <c r="AA9" s="527" t="s">
        <v>1045</v>
      </c>
    </row>
    <row r="10" spans="1:27" ht="39.75" customHeight="1" x14ac:dyDescent="0.25">
      <c r="A10" s="524"/>
      <c r="B10" s="1599" t="s">
        <v>1046</v>
      </c>
      <c r="C10" s="1600"/>
      <c r="D10" s="1601" t="s">
        <v>1047</v>
      </c>
      <c r="E10" s="1602"/>
      <c r="F10" s="1602"/>
      <c r="G10" s="1602"/>
      <c r="H10" s="1602"/>
      <c r="I10" s="1602"/>
      <c r="J10" s="1602"/>
      <c r="K10" s="1603"/>
      <c r="AA10" s="527" t="s">
        <v>1048</v>
      </c>
    </row>
    <row r="11" spans="1:27" ht="15" customHeight="1" x14ac:dyDescent="0.25">
      <c r="A11" s="524"/>
      <c r="B11" s="1580" t="s">
        <v>1049</v>
      </c>
      <c r="C11" s="1604"/>
      <c r="D11" s="528" t="s">
        <v>1050</v>
      </c>
      <c r="E11" s="528" t="s">
        <v>1051</v>
      </c>
      <c r="F11" s="1609"/>
      <c r="G11" s="528" t="s">
        <v>1050</v>
      </c>
      <c r="H11" s="528" t="s">
        <v>1051</v>
      </c>
      <c r="I11" s="1612"/>
      <c r="J11" s="528" t="s">
        <v>1050</v>
      </c>
      <c r="K11" s="529" t="s">
        <v>1051</v>
      </c>
      <c r="AA11" s="527" t="s">
        <v>1052</v>
      </c>
    </row>
    <row r="12" spans="1:27" ht="15" customHeight="1" x14ac:dyDescent="0.25">
      <c r="A12" s="524"/>
      <c r="B12" s="1605"/>
      <c r="C12" s="1606"/>
      <c r="D12" s="530">
        <v>2000</v>
      </c>
      <c r="E12" s="531"/>
      <c r="F12" s="1610"/>
      <c r="G12" s="530">
        <v>2006</v>
      </c>
      <c r="H12" s="531"/>
      <c r="I12" s="1613"/>
      <c r="J12" s="530">
        <v>2012</v>
      </c>
      <c r="K12" s="532">
        <f>SUM(E26:E58)</f>
        <v>2690</v>
      </c>
      <c r="AA12" s="527" t="s">
        <v>1053</v>
      </c>
    </row>
    <row r="13" spans="1:27" x14ac:dyDescent="0.25">
      <c r="A13" s="524"/>
      <c r="B13" s="1605"/>
      <c r="C13" s="1606"/>
      <c r="D13" s="530">
        <v>2001</v>
      </c>
      <c r="E13" s="531"/>
      <c r="F13" s="1610"/>
      <c r="G13" s="530">
        <v>2007</v>
      </c>
      <c r="H13" s="531"/>
      <c r="I13" s="1613"/>
      <c r="J13" s="530">
        <v>2013</v>
      </c>
      <c r="K13" s="532">
        <f>SUM(F26:F58)</f>
        <v>6856</v>
      </c>
      <c r="AA13" s="527" t="s">
        <v>1054</v>
      </c>
    </row>
    <row r="14" spans="1:27" x14ac:dyDescent="0.25">
      <c r="A14" s="524"/>
      <c r="B14" s="1605"/>
      <c r="C14" s="1606"/>
      <c r="D14" s="530">
        <v>2002</v>
      </c>
      <c r="E14" s="531"/>
      <c r="F14" s="1610"/>
      <c r="G14" s="530">
        <v>2008</v>
      </c>
      <c r="H14" s="531"/>
      <c r="I14" s="1613"/>
      <c r="J14" s="530">
        <v>2014</v>
      </c>
      <c r="K14" s="532">
        <f>SUM(G26:G58)</f>
        <v>5586</v>
      </c>
      <c r="AA14" s="527" t="s">
        <v>1055</v>
      </c>
    </row>
    <row r="15" spans="1:27" x14ac:dyDescent="0.25">
      <c r="A15" s="524"/>
      <c r="B15" s="1605"/>
      <c r="C15" s="1606"/>
      <c r="D15" s="530">
        <v>2003</v>
      </c>
      <c r="E15" s="531"/>
      <c r="F15" s="1610"/>
      <c r="G15" s="530">
        <v>2009</v>
      </c>
      <c r="H15" s="531"/>
      <c r="I15" s="1613"/>
      <c r="J15" s="530">
        <v>2015</v>
      </c>
      <c r="K15" s="532">
        <f>SUM(H26:H58)+1000</f>
        <v>5382</v>
      </c>
      <c r="M15" s="533">
        <f>H17+K12+K13+K14+K15+K16+K17</f>
        <v>39071</v>
      </c>
      <c r="AA15" s="527" t="s">
        <v>1056</v>
      </c>
    </row>
    <row r="16" spans="1:27" x14ac:dyDescent="0.25">
      <c r="A16" s="524"/>
      <c r="B16" s="1605"/>
      <c r="C16" s="1606"/>
      <c r="D16" s="530">
        <v>2004</v>
      </c>
      <c r="E16" s="531"/>
      <c r="F16" s="1610"/>
      <c r="G16" s="530">
        <v>2010</v>
      </c>
      <c r="H16" s="531"/>
      <c r="I16" s="1613"/>
      <c r="J16" s="530">
        <v>2016</v>
      </c>
      <c r="K16" s="532">
        <f>SUM(I26:I58)</f>
        <v>4627</v>
      </c>
      <c r="AA16" s="527" t="s">
        <v>1057</v>
      </c>
    </row>
    <row r="17" spans="1:27" x14ac:dyDescent="0.25">
      <c r="A17" s="524"/>
      <c r="B17" s="1605"/>
      <c r="C17" s="1606"/>
      <c r="D17" s="530">
        <v>2005</v>
      </c>
      <c r="E17" s="531"/>
      <c r="F17" s="1610"/>
      <c r="G17" s="530">
        <v>2011</v>
      </c>
      <c r="H17" s="534">
        <v>3644</v>
      </c>
      <c r="I17" s="1613"/>
      <c r="J17" s="530">
        <v>2017</v>
      </c>
      <c r="K17" s="532">
        <f>SUM(J26:J58)</f>
        <v>10286</v>
      </c>
      <c r="N17" s="533"/>
      <c r="AA17" s="527" t="s">
        <v>1058</v>
      </c>
    </row>
    <row r="18" spans="1:27" x14ac:dyDescent="0.25">
      <c r="A18" s="524"/>
      <c r="B18" s="1607"/>
      <c r="C18" s="1608"/>
      <c r="D18" s="535"/>
      <c r="E18" s="536"/>
      <c r="F18" s="1611"/>
      <c r="G18" s="537"/>
      <c r="H18" s="537"/>
      <c r="I18" s="1614"/>
      <c r="J18" s="538">
        <v>2018</v>
      </c>
      <c r="K18" s="539"/>
      <c r="AA18" s="527" t="s">
        <v>1059</v>
      </c>
    </row>
    <row r="19" spans="1:27" ht="26.25" customHeight="1" x14ac:dyDescent="0.25">
      <c r="A19" s="524"/>
      <c r="B19" s="1580" t="s">
        <v>1060</v>
      </c>
      <c r="C19" s="1581"/>
      <c r="D19" s="1582"/>
      <c r="E19" s="1583"/>
      <c r="F19" s="1583"/>
      <c r="G19" s="1583"/>
      <c r="H19" s="1583"/>
      <c r="I19" s="1583"/>
      <c r="J19" s="1583"/>
      <c r="K19" s="1584"/>
      <c r="AA19" s="526" t="s">
        <v>1061</v>
      </c>
    </row>
    <row r="20" spans="1:27" ht="130.5" customHeight="1" x14ac:dyDescent="0.25">
      <c r="A20" s="524"/>
      <c r="B20" s="1580" t="s">
        <v>1062</v>
      </c>
      <c r="C20" s="1581"/>
      <c r="D20" s="1615" t="s">
        <v>1063</v>
      </c>
      <c r="E20" s="1616"/>
      <c r="F20" s="1616"/>
      <c r="G20" s="1616"/>
      <c r="H20" s="1616"/>
      <c r="I20" s="1616"/>
      <c r="J20" s="1616"/>
      <c r="K20" s="1617"/>
      <c r="AA20" s="527" t="s">
        <v>1064</v>
      </c>
    </row>
    <row r="21" spans="1:27" ht="22.5" customHeight="1" x14ac:dyDescent="0.25">
      <c r="A21" s="524"/>
      <c r="B21" s="1580" t="s">
        <v>1065</v>
      </c>
      <c r="C21" s="1581"/>
      <c r="D21" s="540"/>
      <c r="E21" s="541"/>
      <c r="F21" s="541"/>
      <c r="G21" s="541"/>
      <c r="H21" s="541"/>
      <c r="I21" s="541"/>
      <c r="J21" s="541"/>
      <c r="K21" s="542"/>
      <c r="AA21" s="527" t="s">
        <v>1066</v>
      </c>
    </row>
    <row r="22" spans="1:27" ht="22.5" customHeight="1" x14ac:dyDescent="0.25">
      <c r="A22" s="524"/>
      <c r="B22" s="1618"/>
      <c r="C22" s="1619"/>
      <c r="D22" s="543"/>
      <c r="E22" s="544"/>
      <c r="F22" s="545"/>
      <c r="G22" s="544"/>
      <c r="H22" s="545"/>
      <c r="I22" s="541"/>
      <c r="J22" s="545"/>
      <c r="K22" s="542"/>
      <c r="AA22" s="527" t="s">
        <v>1067</v>
      </c>
    </row>
    <row r="23" spans="1:27" ht="22.5" customHeight="1" x14ac:dyDescent="0.25">
      <c r="A23" s="524"/>
      <c r="B23" s="1620"/>
      <c r="C23" s="1621"/>
      <c r="D23" s="546"/>
      <c r="E23" s="547" t="s">
        <v>1068</v>
      </c>
      <c r="F23" s="547"/>
      <c r="G23" s="547" t="s">
        <v>1069</v>
      </c>
      <c r="H23" s="547"/>
      <c r="I23" s="547"/>
      <c r="J23" s="547"/>
      <c r="K23" s="548"/>
      <c r="AA23" s="527" t="s">
        <v>1070</v>
      </c>
    </row>
    <row r="24" spans="1:27" ht="31.5" customHeight="1" x14ac:dyDescent="0.25">
      <c r="A24" s="524"/>
      <c r="B24" s="1622" t="s">
        <v>1071</v>
      </c>
      <c r="C24" s="1623"/>
      <c r="D24" s="1623"/>
      <c r="E24" s="1623"/>
      <c r="F24" s="1623"/>
      <c r="G24" s="1623"/>
      <c r="H24" s="1623"/>
      <c r="I24" s="1623"/>
      <c r="J24" s="1623"/>
      <c r="K24" s="1624"/>
      <c r="AA24" s="527" t="s">
        <v>1072</v>
      </c>
    </row>
    <row r="25" spans="1:27" x14ac:dyDescent="0.25">
      <c r="A25" s="524"/>
      <c r="B25" s="549" t="s">
        <v>1073</v>
      </c>
      <c r="C25" s="550">
        <v>2010</v>
      </c>
      <c r="D25" s="550">
        <v>2011</v>
      </c>
      <c r="E25" s="550">
        <v>2012</v>
      </c>
      <c r="F25" s="550">
        <v>2013</v>
      </c>
      <c r="G25" s="550">
        <v>2014</v>
      </c>
      <c r="H25" s="550">
        <v>2015</v>
      </c>
      <c r="I25" s="550">
        <v>2016</v>
      </c>
      <c r="J25" s="550">
        <v>2017</v>
      </c>
      <c r="K25" s="551">
        <v>2018</v>
      </c>
      <c r="L25" s="552"/>
      <c r="M25" s="552"/>
      <c r="AA25" s="527" t="s">
        <v>1074</v>
      </c>
    </row>
    <row r="26" spans="1:27" x14ac:dyDescent="0.25">
      <c r="A26" s="524"/>
      <c r="B26" s="553" t="s">
        <v>1075</v>
      </c>
      <c r="C26" s="554"/>
      <c r="D26" s="554"/>
      <c r="E26" s="554">
        <v>125</v>
      </c>
      <c r="F26" s="554">
        <v>132</v>
      </c>
      <c r="G26" s="554">
        <v>720</v>
      </c>
      <c r="H26" s="554">
        <v>86</v>
      </c>
      <c r="I26" s="554">
        <v>610</v>
      </c>
      <c r="J26" s="555">
        <v>281</v>
      </c>
      <c r="K26" s="556"/>
      <c r="AA26" s="527" t="s">
        <v>1076</v>
      </c>
    </row>
    <row r="27" spans="1:27" ht="14.25" customHeight="1" x14ac:dyDescent="0.25">
      <c r="A27" s="524"/>
      <c r="B27" s="553" t="s">
        <v>1077</v>
      </c>
      <c r="C27" s="557"/>
      <c r="D27" s="557"/>
      <c r="E27" s="557">
        <v>85</v>
      </c>
      <c r="F27" s="557">
        <v>348</v>
      </c>
      <c r="G27" s="557">
        <v>330</v>
      </c>
      <c r="H27" s="557">
        <v>5</v>
      </c>
      <c r="I27" s="557">
        <v>9</v>
      </c>
      <c r="J27" s="557">
        <v>114</v>
      </c>
      <c r="K27" s="558"/>
      <c r="AA27" s="527" t="s">
        <v>1035</v>
      </c>
    </row>
    <row r="28" spans="1:27" x14ac:dyDescent="0.25">
      <c r="A28" s="524"/>
      <c r="B28" s="553" t="s">
        <v>1078</v>
      </c>
      <c r="C28" s="557"/>
      <c r="D28" s="557"/>
      <c r="E28" s="557">
        <v>70</v>
      </c>
      <c r="F28" s="557">
        <v>60</v>
      </c>
      <c r="G28" s="557">
        <v>84</v>
      </c>
      <c r="H28" s="557">
        <v>82</v>
      </c>
      <c r="I28" s="557">
        <v>17</v>
      </c>
      <c r="J28" s="557">
        <v>26</v>
      </c>
      <c r="K28" s="558"/>
      <c r="AA28" s="527" t="s">
        <v>1079</v>
      </c>
    </row>
    <row r="29" spans="1:27" x14ac:dyDescent="0.25">
      <c r="A29" s="524"/>
      <c r="B29" s="553" t="s">
        <v>1080</v>
      </c>
      <c r="C29" s="557"/>
      <c r="D29" s="557"/>
      <c r="E29" s="557">
        <v>55</v>
      </c>
      <c r="F29" s="557">
        <v>300</v>
      </c>
      <c r="G29" s="557">
        <v>252</v>
      </c>
      <c r="H29" s="557">
        <v>102</v>
      </c>
      <c r="I29" s="557">
        <v>85</v>
      </c>
      <c r="J29" s="557">
        <v>254</v>
      </c>
      <c r="K29" s="558"/>
      <c r="AA29" s="527" t="s">
        <v>1081</v>
      </c>
    </row>
    <row r="30" spans="1:27" x14ac:dyDescent="0.25">
      <c r="A30" s="524"/>
      <c r="B30" s="553" t="s">
        <v>1082</v>
      </c>
      <c r="C30" s="557"/>
      <c r="D30" s="557"/>
      <c r="E30" s="557">
        <v>275</v>
      </c>
      <c r="F30" s="557">
        <v>738</v>
      </c>
      <c r="G30" s="557">
        <v>228</v>
      </c>
      <c r="H30" s="557">
        <v>173</v>
      </c>
      <c r="I30" s="557">
        <v>102</v>
      </c>
      <c r="J30" s="557">
        <v>339</v>
      </c>
      <c r="K30" s="558"/>
    </row>
    <row r="31" spans="1:27" x14ac:dyDescent="0.25">
      <c r="A31" s="524"/>
      <c r="B31" s="553" t="s">
        <v>1083</v>
      </c>
      <c r="C31" s="557"/>
      <c r="D31" s="557"/>
      <c r="E31" s="557">
        <v>45</v>
      </c>
      <c r="F31" s="557">
        <v>120</v>
      </c>
      <c r="G31" s="557">
        <v>402</v>
      </c>
      <c r="H31" s="557">
        <v>190</v>
      </c>
      <c r="I31" s="557">
        <v>71</v>
      </c>
      <c r="J31" s="557">
        <v>335</v>
      </c>
      <c r="K31" s="558"/>
    </row>
    <row r="32" spans="1:27" x14ac:dyDescent="0.25">
      <c r="A32" s="524"/>
      <c r="B32" s="553" t="s">
        <v>1084</v>
      </c>
      <c r="C32" s="557"/>
      <c r="D32" s="557"/>
      <c r="E32" s="557">
        <v>15</v>
      </c>
      <c r="F32" s="557">
        <v>12</v>
      </c>
      <c r="G32" s="557">
        <v>144</v>
      </c>
      <c r="H32" s="557">
        <v>50</v>
      </c>
      <c r="I32" s="557">
        <v>0</v>
      </c>
      <c r="J32" s="557">
        <v>376</v>
      </c>
      <c r="K32" s="558"/>
    </row>
    <row r="33" spans="1:11" x14ac:dyDescent="0.25">
      <c r="A33" s="524"/>
      <c r="B33" s="553" t="s">
        <v>1085</v>
      </c>
      <c r="C33" s="557"/>
      <c r="D33" s="557"/>
      <c r="E33" s="557">
        <v>90</v>
      </c>
      <c r="F33" s="557">
        <v>288</v>
      </c>
      <c r="G33" s="557">
        <v>126</v>
      </c>
      <c r="H33" s="557">
        <v>378</v>
      </c>
      <c r="I33" s="557">
        <v>456</v>
      </c>
      <c r="J33" s="557">
        <v>958</v>
      </c>
      <c r="K33" s="558"/>
    </row>
    <row r="34" spans="1:11" x14ac:dyDescent="0.25">
      <c r="A34" s="524"/>
      <c r="B34" s="553" t="s">
        <v>1086</v>
      </c>
      <c r="C34" s="557"/>
      <c r="D34" s="557"/>
      <c r="E34" s="557">
        <v>95</v>
      </c>
      <c r="F34" s="557">
        <v>318</v>
      </c>
      <c r="G34" s="557">
        <v>144</v>
      </c>
      <c r="H34" s="557">
        <v>104</v>
      </c>
      <c r="I34" s="557">
        <v>100</v>
      </c>
      <c r="J34" s="557">
        <v>472</v>
      </c>
      <c r="K34" s="558"/>
    </row>
    <row r="35" spans="1:11" x14ac:dyDescent="0.25">
      <c r="A35" s="524"/>
      <c r="B35" s="553" t="s">
        <v>1087</v>
      </c>
      <c r="C35" s="557"/>
      <c r="D35" s="557"/>
      <c r="E35" s="557">
        <v>130</v>
      </c>
      <c r="F35" s="557">
        <v>642</v>
      </c>
      <c r="G35" s="557">
        <v>180</v>
      </c>
      <c r="H35" s="557">
        <v>558</v>
      </c>
      <c r="I35" s="557">
        <v>113</v>
      </c>
      <c r="J35" s="557">
        <v>1278</v>
      </c>
      <c r="K35" s="558"/>
    </row>
    <row r="36" spans="1:11" x14ac:dyDescent="0.25">
      <c r="A36" s="524"/>
      <c r="B36" s="553" t="s">
        <v>1088</v>
      </c>
      <c r="C36" s="557"/>
      <c r="D36" s="557"/>
      <c r="E36" s="557">
        <v>195</v>
      </c>
      <c r="F36" s="557">
        <v>474</v>
      </c>
      <c r="G36" s="557">
        <v>246</v>
      </c>
      <c r="H36" s="557">
        <v>282</v>
      </c>
      <c r="I36" s="557">
        <v>330</v>
      </c>
      <c r="J36" s="557">
        <v>1163</v>
      </c>
      <c r="K36" s="558"/>
    </row>
    <row r="37" spans="1:11" x14ac:dyDescent="0.25">
      <c r="A37" s="524"/>
      <c r="B37" s="553" t="s">
        <v>1089</v>
      </c>
      <c r="C37" s="557"/>
      <c r="D37" s="557"/>
      <c r="E37" s="557">
        <v>35</v>
      </c>
      <c r="F37" s="557">
        <v>210</v>
      </c>
      <c r="G37" s="557">
        <v>150</v>
      </c>
      <c r="H37" s="557">
        <v>73</v>
      </c>
      <c r="I37" s="557">
        <v>294</v>
      </c>
      <c r="J37" s="557">
        <v>98</v>
      </c>
      <c r="K37" s="558"/>
    </row>
    <row r="38" spans="1:11" x14ac:dyDescent="0.25">
      <c r="A38" s="524"/>
      <c r="B38" s="553" t="s">
        <v>1090</v>
      </c>
      <c r="C38" s="557"/>
      <c r="D38" s="557"/>
      <c r="E38" s="557">
        <v>235</v>
      </c>
      <c r="F38" s="557">
        <v>324</v>
      </c>
      <c r="G38" s="557">
        <v>0</v>
      </c>
      <c r="H38" s="557">
        <v>217</v>
      </c>
      <c r="I38" s="557">
        <v>23</v>
      </c>
      <c r="J38" s="557">
        <v>67</v>
      </c>
      <c r="K38" s="558"/>
    </row>
    <row r="39" spans="1:11" x14ac:dyDescent="0.25">
      <c r="A39" s="524"/>
      <c r="B39" s="553" t="s">
        <v>1091</v>
      </c>
      <c r="C39" s="557"/>
      <c r="D39" s="557"/>
      <c r="E39" s="557">
        <v>85</v>
      </c>
      <c r="F39" s="557">
        <v>144</v>
      </c>
      <c r="G39" s="557">
        <v>126</v>
      </c>
      <c r="H39" s="557">
        <v>84</v>
      </c>
      <c r="I39" s="557">
        <v>23</v>
      </c>
      <c r="J39" s="557">
        <v>398</v>
      </c>
      <c r="K39" s="558"/>
    </row>
    <row r="40" spans="1:11" x14ac:dyDescent="0.25">
      <c r="A40" s="524"/>
      <c r="B40" s="553" t="s">
        <v>1092</v>
      </c>
      <c r="C40" s="557"/>
      <c r="D40" s="557"/>
      <c r="E40" s="557">
        <v>40</v>
      </c>
      <c r="F40" s="557">
        <v>294</v>
      </c>
      <c r="G40" s="557">
        <v>198</v>
      </c>
      <c r="H40" s="557">
        <v>133</v>
      </c>
      <c r="I40" s="557">
        <v>55</v>
      </c>
      <c r="J40" s="557">
        <v>119</v>
      </c>
      <c r="K40" s="558"/>
    </row>
    <row r="41" spans="1:11" x14ac:dyDescent="0.25">
      <c r="A41" s="524"/>
      <c r="B41" s="553" t="s">
        <v>67</v>
      </c>
      <c r="C41" s="557"/>
      <c r="D41" s="557"/>
      <c r="E41" s="557">
        <v>15</v>
      </c>
      <c r="F41" s="557">
        <v>96</v>
      </c>
      <c r="G41" s="557">
        <v>132</v>
      </c>
      <c r="H41" s="557">
        <v>107</v>
      </c>
      <c r="I41" s="557">
        <v>11</v>
      </c>
      <c r="J41" s="557">
        <v>289</v>
      </c>
      <c r="K41" s="558"/>
    </row>
    <row r="42" spans="1:11" x14ac:dyDescent="0.25">
      <c r="A42" s="524"/>
      <c r="B42" s="553" t="s">
        <v>1093</v>
      </c>
      <c r="C42" s="557"/>
      <c r="D42" s="557"/>
      <c r="E42" s="557">
        <v>430</v>
      </c>
      <c r="F42" s="557">
        <v>378</v>
      </c>
      <c r="G42" s="557">
        <v>0</v>
      </c>
      <c r="H42" s="557">
        <v>70</v>
      </c>
      <c r="I42" s="557">
        <v>333</v>
      </c>
      <c r="J42" s="557">
        <v>678</v>
      </c>
      <c r="K42" s="558"/>
    </row>
    <row r="43" spans="1:11" x14ac:dyDescent="0.25">
      <c r="A43" s="524"/>
      <c r="B43" s="553" t="s">
        <v>1094</v>
      </c>
      <c r="C43" s="557"/>
      <c r="D43" s="557"/>
      <c r="E43" s="557">
        <v>10</v>
      </c>
      <c r="F43" s="557">
        <v>36</v>
      </c>
      <c r="G43" s="557">
        <v>204</v>
      </c>
      <c r="H43" s="557">
        <v>220</v>
      </c>
      <c r="I43" s="557">
        <v>286</v>
      </c>
      <c r="J43" s="557">
        <v>370</v>
      </c>
      <c r="K43" s="558"/>
    </row>
    <row r="44" spans="1:11" x14ac:dyDescent="0.25">
      <c r="A44" s="524"/>
      <c r="B44" s="553" t="s">
        <v>1095</v>
      </c>
      <c r="C44" s="557"/>
      <c r="D44" s="557"/>
      <c r="E44" s="557">
        <v>0</v>
      </c>
      <c r="F44" s="557">
        <v>78</v>
      </c>
      <c r="G44" s="557">
        <v>252</v>
      </c>
      <c r="H44" s="557">
        <v>199</v>
      </c>
      <c r="I44" s="557">
        <v>36</v>
      </c>
      <c r="J44" s="557">
        <v>188</v>
      </c>
      <c r="K44" s="558"/>
    </row>
    <row r="45" spans="1:11" x14ac:dyDescent="0.25">
      <c r="A45" s="524"/>
      <c r="B45" s="553" t="s">
        <v>1096</v>
      </c>
      <c r="C45" s="557"/>
      <c r="D45" s="557"/>
      <c r="E45" s="557">
        <v>0</v>
      </c>
      <c r="F45" s="557">
        <v>294</v>
      </c>
      <c r="G45" s="557">
        <v>192</v>
      </c>
      <c r="H45" s="557">
        <v>341</v>
      </c>
      <c r="I45" s="557">
        <v>807</v>
      </c>
      <c r="J45" s="557">
        <v>361</v>
      </c>
      <c r="K45" s="558"/>
    </row>
    <row r="46" spans="1:11" x14ac:dyDescent="0.25">
      <c r="A46" s="524"/>
      <c r="B46" s="553" t="s">
        <v>1097</v>
      </c>
      <c r="C46" s="557"/>
      <c r="D46" s="557"/>
      <c r="E46" s="557">
        <v>60</v>
      </c>
      <c r="F46" s="557">
        <v>354</v>
      </c>
      <c r="G46" s="557">
        <v>0</v>
      </c>
      <c r="H46" s="557">
        <v>172</v>
      </c>
      <c r="I46" s="557">
        <v>111</v>
      </c>
      <c r="J46" s="557">
        <v>400</v>
      </c>
      <c r="K46" s="558"/>
    </row>
    <row r="47" spans="1:11" x14ac:dyDescent="0.25">
      <c r="A47" s="524"/>
      <c r="B47" s="553" t="s">
        <v>1098</v>
      </c>
      <c r="C47" s="557"/>
      <c r="D47" s="557"/>
      <c r="E47" s="557">
        <v>40</v>
      </c>
      <c r="F47" s="557">
        <v>174</v>
      </c>
      <c r="G47" s="557">
        <v>372</v>
      </c>
      <c r="H47" s="557">
        <v>213</v>
      </c>
      <c r="I47" s="557">
        <v>58</v>
      </c>
      <c r="J47" s="557">
        <v>132</v>
      </c>
      <c r="K47" s="558"/>
    </row>
    <row r="48" spans="1:11" x14ac:dyDescent="0.25">
      <c r="A48" s="524"/>
      <c r="B48" s="553" t="s">
        <v>1099</v>
      </c>
      <c r="C48" s="557"/>
      <c r="D48" s="557"/>
      <c r="E48" s="557">
        <v>150</v>
      </c>
      <c r="F48" s="557">
        <v>144</v>
      </c>
      <c r="G48" s="557">
        <v>0</v>
      </c>
      <c r="H48" s="557">
        <v>92</v>
      </c>
      <c r="I48" s="557">
        <v>72</v>
      </c>
      <c r="J48" s="557">
        <v>285</v>
      </c>
      <c r="K48" s="558"/>
    </row>
    <row r="49" spans="1:11" x14ac:dyDescent="0.25">
      <c r="A49" s="524"/>
      <c r="B49" s="553" t="s">
        <v>1100</v>
      </c>
      <c r="C49" s="557"/>
      <c r="D49" s="557"/>
      <c r="E49" s="557">
        <v>145</v>
      </c>
      <c r="F49" s="557">
        <v>616</v>
      </c>
      <c r="G49" s="557">
        <v>750</v>
      </c>
      <c r="H49" s="557">
        <v>121</v>
      </c>
      <c r="I49" s="557">
        <v>100</v>
      </c>
      <c r="J49" s="557">
        <v>340</v>
      </c>
      <c r="K49" s="558"/>
    </row>
    <row r="50" spans="1:11" x14ac:dyDescent="0.25">
      <c r="A50" s="524"/>
      <c r="B50" s="553" t="s">
        <v>1101</v>
      </c>
      <c r="C50" s="557"/>
      <c r="D50" s="557"/>
      <c r="E50" s="557">
        <v>5</v>
      </c>
      <c r="F50" s="557">
        <v>0</v>
      </c>
      <c r="G50" s="557">
        <v>0</v>
      </c>
      <c r="H50" s="557">
        <v>23</v>
      </c>
      <c r="I50" s="557">
        <v>0</v>
      </c>
      <c r="J50" s="557">
        <v>40</v>
      </c>
      <c r="K50" s="558"/>
    </row>
    <row r="51" spans="1:11" x14ac:dyDescent="0.25">
      <c r="A51" s="524"/>
      <c r="B51" s="553" t="s">
        <v>1102</v>
      </c>
      <c r="C51" s="557"/>
      <c r="D51" s="557"/>
      <c r="E51" s="557">
        <v>10</v>
      </c>
      <c r="F51" s="557">
        <v>24</v>
      </c>
      <c r="G51" s="557">
        <v>210</v>
      </c>
      <c r="H51" s="557">
        <v>0</v>
      </c>
      <c r="I51" s="557">
        <v>0</v>
      </c>
      <c r="J51" s="557">
        <v>0</v>
      </c>
      <c r="K51" s="558"/>
    </row>
    <row r="52" spans="1:11" x14ac:dyDescent="0.25">
      <c r="A52" s="524"/>
      <c r="B52" s="553" t="s">
        <v>1103</v>
      </c>
      <c r="C52" s="557"/>
      <c r="D52" s="557"/>
      <c r="E52" s="557">
        <v>85</v>
      </c>
      <c r="F52" s="557">
        <v>66</v>
      </c>
      <c r="G52" s="557">
        <v>0</v>
      </c>
      <c r="H52" s="557">
        <v>95</v>
      </c>
      <c r="I52" s="557">
        <v>288</v>
      </c>
      <c r="J52" s="557">
        <v>584</v>
      </c>
      <c r="K52" s="558"/>
    </row>
    <row r="53" spans="1:11" x14ac:dyDescent="0.25">
      <c r="A53" s="524"/>
      <c r="B53" s="553" t="s">
        <v>1104</v>
      </c>
      <c r="C53" s="557"/>
      <c r="D53" s="557"/>
      <c r="E53" s="557">
        <v>0</v>
      </c>
      <c r="F53" s="557">
        <v>156</v>
      </c>
      <c r="G53" s="557">
        <v>60</v>
      </c>
      <c r="H53" s="557">
        <v>0</v>
      </c>
      <c r="I53" s="557">
        <v>58</v>
      </c>
      <c r="J53" s="557">
        <v>63</v>
      </c>
      <c r="K53" s="558"/>
    </row>
    <row r="54" spans="1:11" x14ac:dyDescent="0.25">
      <c r="A54" s="524"/>
      <c r="B54" s="553" t="s">
        <v>1105</v>
      </c>
      <c r="C54" s="557"/>
      <c r="D54" s="557"/>
      <c r="E54" s="557">
        <v>45</v>
      </c>
      <c r="F54" s="557">
        <v>36</v>
      </c>
      <c r="G54" s="557">
        <v>84</v>
      </c>
      <c r="H54" s="557">
        <v>25</v>
      </c>
      <c r="I54" s="557">
        <v>0</v>
      </c>
      <c r="J54" s="557">
        <v>0</v>
      </c>
      <c r="K54" s="558"/>
    </row>
    <row r="55" spans="1:11" x14ac:dyDescent="0.25">
      <c r="A55" s="524"/>
      <c r="B55" s="553" t="s">
        <v>1106</v>
      </c>
      <c r="C55" s="557"/>
      <c r="D55" s="557"/>
      <c r="E55" s="557">
        <v>55</v>
      </c>
      <c r="F55" s="557">
        <v>0</v>
      </c>
      <c r="G55" s="557">
        <v>0</v>
      </c>
      <c r="H55" s="557">
        <v>0</v>
      </c>
      <c r="I55" s="557">
        <v>0</v>
      </c>
      <c r="J55" s="557">
        <v>0</v>
      </c>
      <c r="K55" s="558"/>
    </row>
    <row r="56" spans="1:11" x14ac:dyDescent="0.25">
      <c r="A56" s="524"/>
      <c r="B56" s="553" t="s">
        <v>1107</v>
      </c>
      <c r="C56" s="557"/>
      <c r="D56" s="557"/>
      <c r="E56" s="557">
        <v>40</v>
      </c>
      <c r="F56" s="557">
        <v>0</v>
      </c>
      <c r="G56" s="557">
        <v>0</v>
      </c>
      <c r="H56" s="557">
        <v>101</v>
      </c>
      <c r="I56" s="557">
        <v>153</v>
      </c>
      <c r="J56" s="557">
        <v>278</v>
      </c>
      <c r="K56" s="558"/>
    </row>
    <row r="57" spans="1:11" x14ac:dyDescent="0.25">
      <c r="A57" s="524"/>
      <c r="B57" s="553" t="s">
        <v>1108</v>
      </c>
      <c r="C57" s="557"/>
      <c r="D57" s="557"/>
      <c r="E57" s="557">
        <v>20</v>
      </c>
      <c r="F57" s="557">
        <v>0</v>
      </c>
      <c r="G57" s="557">
        <v>0</v>
      </c>
      <c r="H57" s="557">
        <v>0</v>
      </c>
      <c r="I57" s="557">
        <v>0</v>
      </c>
      <c r="J57" s="557">
        <v>0</v>
      </c>
      <c r="K57" s="558"/>
    </row>
    <row r="58" spans="1:11" ht="15.75" thickBot="1" x14ac:dyDescent="0.3">
      <c r="A58" s="524"/>
      <c r="B58" s="559" t="s">
        <v>1109</v>
      </c>
      <c r="C58" s="560"/>
      <c r="D58" s="560"/>
      <c r="E58" s="560">
        <v>5</v>
      </c>
      <c r="F58" s="560">
        <v>0</v>
      </c>
      <c r="G58" s="560">
        <v>0</v>
      </c>
      <c r="H58" s="560">
        <v>86</v>
      </c>
      <c r="I58" s="560">
        <v>26</v>
      </c>
      <c r="J58" s="560">
        <v>0</v>
      </c>
      <c r="K58" s="561"/>
    </row>
    <row r="59" spans="1:11" ht="15" customHeight="1" x14ac:dyDescent="0.3">
      <c r="B59" s="1572" t="s">
        <v>1110</v>
      </c>
      <c r="C59" s="1573"/>
      <c r="D59" s="1573"/>
      <c r="E59" s="1573"/>
      <c r="F59" s="1573"/>
      <c r="G59" s="1573"/>
      <c r="H59" s="1573"/>
      <c r="I59" s="1573"/>
      <c r="J59" s="1573"/>
      <c r="K59" s="1574"/>
    </row>
    <row r="60" spans="1:11" x14ac:dyDescent="0.25">
      <c r="B60" s="1625" t="s">
        <v>1111</v>
      </c>
      <c r="C60" s="1626"/>
      <c r="D60" s="540"/>
      <c r="E60" s="541"/>
      <c r="F60" s="541"/>
      <c r="G60" s="541"/>
      <c r="H60" s="541"/>
      <c r="I60" s="541"/>
      <c r="J60" s="541"/>
      <c r="K60" s="542"/>
    </row>
    <row r="61" spans="1:11" x14ac:dyDescent="0.25">
      <c r="B61" s="1605"/>
      <c r="C61" s="1627"/>
      <c r="D61" s="543"/>
      <c r="E61" s="544"/>
      <c r="F61" s="545"/>
      <c r="G61" s="544" t="s">
        <v>1112</v>
      </c>
      <c r="H61" s="545"/>
      <c r="I61" s="541"/>
      <c r="J61" s="545"/>
      <c r="K61" s="542"/>
    </row>
    <row r="62" spans="1:11" x14ac:dyDescent="0.25">
      <c r="B62" s="1628"/>
      <c r="C62" s="1629"/>
      <c r="D62" s="546"/>
      <c r="E62" s="547" t="s">
        <v>1068</v>
      </c>
      <c r="F62" s="547"/>
      <c r="G62" s="547" t="s">
        <v>1069</v>
      </c>
      <c r="H62" s="547"/>
      <c r="I62" s="547"/>
      <c r="J62" s="547"/>
      <c r="K62" s="548"/>
    </row>
    <row r="63" spans="1:11" ht="52.5" customHeight="1" x14ac:dyDescent="0.25">
      <c r="B63" s="1575" t="s">
        <v>1113</v>
      </c>
      <c r="C63" s="1576"/>
      <c r="D63" s="1577"/>
      <c r="E63" s="1578"/>
      <c r="F63" s="1578"/>
      <c r="G63" s="1578"/>
      <c r="H63" s="1578"/>
      <c r="I63" s="1578"/>
      <c r="J63" s="1578"/>
      <c r="K63" s="1579"/>
    </row>
    <row r="64" spans="1:11" ht="15" customHeight="1" x14ac:dyDescent="0.3">
      <c r="B64" s="1572" t="s">
        <v>1114</v>
      </c>
      <c r="C64" s="1573"/>
      <c r="D64" s="1573"/>
      <c r="E64" s="1573"/>
      <c r="F64" s="1573"/>
      <c r="G64" s="1573"/>
      <c r="H64" s="1573"/>
      <c r="I64" s="1573"/>
      <c r="J64" s="1573"/>
      <c r="K64" s="1574"/>
    </row>
    <row r="65" spans="2:11" ht="19.5" customHeight="1" x14ac:dyDescent="0.25">
      <c r="B65" s="1575" t="s">
        <v>1115</v>
      </c>
      <c r="C65" s="1576"/>
      <c r="D65" s="1577" t="s">
        <v>1116</v>
      </c>
      <c r="E65" s="1578"/>
      <c r="F65" s="1578"/>
      <c r="G65" s="1578"/>
      <c r="H65" s="1578"/>
      <c r="I65" s="1578"/>
      <c r="J65" s="1578"/>
      <c r="K65" s="1579"/>
    </row>
    <row r="66" spans="2:11" ht="19.5" customHeight="1" x14ac:dyDescent="0.25">
      <c r="B66" s="1585" t="s">
        <v>1117</v>
      </c>
      <c r="C66" s="1586"/>
      <c r="D66" s="1587" t="s">
        <v>1118</v>
      </c>
      <c r="E66" s="1587"/>
      <c r="F66" s="1587"/>
      <c r="G66" s="1587"/>
      <c r="H66" s="1587"/>
      <c r="I66" s="1587"/>
      <c r="J66" s="1587"/>
      <c r="K66" s="1588"/>
    </row>
    <row r="67" spans="2:11" ht="19.5" customHeight="1" x14ac:dyDescent="0.25">
      <c r="B67" s="1585" t="s">
        <v>1119</v>
      </c>
      <c r="C67" s="1586"/>
      <c r="D67" s="1587" t="s">
        <v>1120</v>
      </c>
      <c r="E67" s="1587"/>
      <c r="F67" s="1587"/>
      <c r="G67" s="1587"/>
      <c r="H67" s="1587"/>
      <c r="I67" s="1587"/>
      <c r="J67" s="1587"/>
      <c r="K67" s="1588"/>
    </row>
    <row r="68" spans="2:11" ht="19.5" customHeight="1" x14ac:dyDescent="0.25">
      <c r="B68" s="1589" t="s">
        <v>1121</v>
      </c>
      <c r="C68" s="1630"/>
      <c r="D68" s="1631" t="s">
        <v>1122</v>
      </c>
      <c r="E68" s="1597"/>
      <c r="F68" s="1597"/>
      <c r="G68" s="1597"/>
      <c r="H68" s="1597"/>
      <c r="I68" s="1597"/>
      <c r="J68" s="1597"/>
      <c r="K68" s="1598"/>
    </row>
    <row r="69" spans="2:11" ht="19.5" customHeight="1" thickBot="1" x14ac:dyDescent="0.3">
      <c r="B69" s="1632" t="s">
        <v>1123</v>
      </c>
      <c r="C69" s="1633"/>
      <c r="D69" s="1634" t="s">
        <v>1124</v>
      </c>
      <c r="E69" s="1635"/>
      <c r="F69" s="1635"/>
      <c r="G69" s="1635"/>
      <c r="H69" s="1635"/>
      <c r="I69" s="1635"/>
      <c r="J69" s="1635"/>
      <c r="K69" s="1636"/>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r:id="rId2"/>
  <headerFooter>
    <oddFooter>&amp;CPágina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12" activePane="bottomRight" state="frozen"/>
      <selection activeCell="N20" sqref="N20"/>
      <selection pane="topRight" activeCell="N20" sqref="N20"/>
      <selection pane="bottomLeft" activeCell="N20" sqref="N20"/>
      <selection pane="bottomRight" activeCell="M21" sqref="M21"/>
    </sheetView>
  </sheetViews>
  <sheetFormatPr baseColWidth="10" defaultColWidth="14.42578125" defaultRowHeight="15" customHeight="1" x14ac:dyDescent="0.25"/>
  <cols>
    <col min="1" max="1" width="2.28515625" style="526" customWidth="1"/>
    <col min="2" max="2" width="15.5703125" style="562" customWidth="1"/>
    <col min="3" max="3" width="14.7109375" style="562" customWidth="1"/>
    <col min="4" max="10" width="10.7109375" style="562" customWidth="1"/>
    <col min="11" max="11" width="11.140625" style="562" customWidth="1"/>
    <col min="12" max="26" width="14.42578125" style="526"/>
    <col min="27" max="27" width="0" style="526" hidden="1" customWidth="1"/>
    <col min="28" max="16384" width="14.42578125" style="526"/>
  </cols>
  <sheetData>
    <row r="1" spans="1:27" ht="15.75" thickBot="1" x14ac:dyDescent="0.3">
      <c r="A1" s="524"/>
      <c r="B1" s="525"/>
      <c r="C1" s="525"/>
      <c r="D1" s="525"/>
      <c r="E1" s="525"/>
      <c r="F1" s="525"/>
      <c r="G1" s="525"/>
      <c r="H1" s="525"/>
      <c r="I1" s="525"/>
      <c r="J1" s="525"/>
      <c r="K1" s="525"/>
    </row>
    <row r="2" spans="1:27" ht="37.5" customHeight="1" x14ac:dyDescent="0.3">
      <c r="A2" s="524"/>
      <c r="B2" s="1563" t="s">
        <v>1031</v>
      </c>
      <c r="C2" s="1564"/>
      <c r="D2" s="1564"/>
      <c r="E2" s="1564"/>
      <c r="F2" s="1564"/>
      <c r="G2" s="1564"/>
      <c r="H2" s="1564"/>
      <c r="I2" s="1564"/>
      <c r="J2" s="1564"/>
      <c r="K2" s="1565"/>
    </row>
    <row r="3" spans="1:27" ht="18" customHeight="1" x14ac:dyDescent="0.25">
      <c r="A3" s="524"/>
      <c r="B3" s="1566" t="s">
        <v>1032</v>
      </c>
      <c r="C3" s="1567"/>
      <c r="D3" s="1567"/>
      <c r="E3" s="1567"/>
      <c r="F3" s="1567"/>
      <c r="G3" s="1567"/>
      <c r="H3" s="1567"/>
      <c r="I3" s="1567"/>
      <c r="J3" s="1567"/>
      <c r="K3" s="1568"/>
    </row>
    <row r="4" spans="1:27" ht="12" customHeight="1" x14ac:dyDescent="0.25">
      <c r="A4" s="524"/>
      <c r="B4" s="1569"/>
      <c r="C4" s="1570"/>
      <c r="D4" s="1570"/>
      <c r="E4" s="1570"/>
      <c r="F4" s="1570"/>
      <c r="G4" s="1570"/>
      <c r="H4" s="1570"/>
      <c r="I4" s="1570"/>
      <c r="J4" s="1570"/>
      <c r="K4" s="1571"/>
    </row>
    <row r="5" spans="1:27" ht="18.75" x14ac:dyDescent="0.3">
      <c r="A5" s="524"/>
      <c r="B5" s="1572" t="s">
        <v>1125</v>
      </c>
      <c r="C5" s="1573"/>
      <c r="D5" s="1573"/>
      <c r="E5" s="1573"/>
      <c r="F5" s="1573"/>
      <c r="G5" s="1573"/>
      <c r="H5" s="1573"/>
      <c r="I5" s="1573"/>
      <c r="J5" s="1573"/>
      <c r="K5" s="1574"/>
    </row>
    <row r="6" spans="1:27" ht="50.25" customHeight="1" x14ac:dyDescent="0.25">
      <c r="A6" s="524"/>
      <c r="B6" s="1575" t="s">
        <v>1034</v>
      </c>
      <c r="C6" s="1576"/>
      <c r="D6" s="1577" t="s">
        <v>1035</v>
      </c>
      <c r="E6" s="1578"/>
      <c r="F6" s="1578"/>
      <c r="G6" s="1578"/>
      <c r="H6" s="1578"/>
      <c r="I6" s="1578"/>
      <c r="J6" s="1578"/>
      <c r="K6" s="1579"/>
      <c r="AA6" s="527" t="s">
        <v>1036</v>
      </c>
    </row>
    <row r="7" spans="1:27" ht="39" customHeight="1" x14ac:dyDescent="0.25">
      <c r="A7" s="524"/>
      <c r="B7" s="1585" t="s">
        <v>1037</v>
      </c>
      <c r="C7" s="1586"/>
      <c r="D7" s="1587" t="s">
        <v>983</v>
      </c>
      <c r="E7" s="1587"/>
      <c r="F7" s="1587"/>
      <c r="G7" s="1587"/>
      <c r="H7" s="1587"/>
      <c r="I7" s="1587"/>
      <c r="J7" s="1587"/>
      <c r="K7" s="1588"/>
      <c r="AA7" s="527" t="s">
        <v>1039</v>
      </c>
    </row>
    <row r="8" spans="1:27" ht="251.25" customHeight="1" x14ac:dyDescent="0.25">
      <c r="A8" s="524"/>
      <c r="B8" s="1589" t="s">
        <v>1040</v>
      </c>
      <c r="C8" s="1590"/>
      <c r="D8" s="1591" t="s">
        <v>1126</v>
      </c>
      <c r="E8" s="1592"/>
      <c r="F8" s="1592"/>
      <c r="G8" s="1592"/>
      <c r="H8" s="1592"/>
      <c r="I8" s="1592"/>
      <c r="J8" s="1592"/>
      <c r="K8" s="1593"/>
      <c r="AA8" s="527" t="s">
        <v>1042</v>
      </c>
    </row>
    <row r="9" spans="1:27" ht="39.75" customHeight="1" x14ac:dyDescent="0.25">
      <c r="A9" s="524"/>
      <c r="B9" s="1594" t="s">
        <v>1043</v>
      </c>
      <c r="C9" s="1595"/>
      <c r="D9" s="1596" t="s">
        <v>983</v>
      </c>
      <c r="E9" s="1597"/>
      <c r="F9" s="1597"/>
      <c r="G9" s="1597"/>
      <c r="H9" s="1597"/>
      <c r="I9" s="1597"/>
      <c r="J9" s="1597"/>
      <c r="K9" s="1598"/>
      <c r="AA9" s="527" t="s">
        <v>1045</v>
      </c>
    </row>
    <row r="10" spans="1:27" ht="39.75" customHeight="1" x14ac:dyDescent="0.25">
      <c r="A10" s="524"/>
      <c r="B10" s="1599" t="s">
        <v>1046</v>
      </c>
      <c r="C10" s="1600"/>
      <c r="D10" s="1601" t="s">
        <v>1127</v>
      </c>
      <c r="E10" s="1602"/>
      <c r="F10" s="1602"/>
      <c r="G10" s="1602"/>
      <c r="H10" s="1602"/>
      <c r="I10" s="1602"/>
      <c r="J10" s="1602"/>
      <c r="K10" s="1603"/>
      <c r="AA10" s="527" t="s">
        <v>1048</v>
      </c>
    </row>
    <row r="11" spans="1:27" ht="15" customHeight="1" x14ac:dyDescent="0.25">
      <c r="A11" s="524"/>
      <c r="B11" s="1580" t="s">
        <v>1049</v>
      </c>
      <c r="C11" s="1604"/>
      <c r="D11" s="528" t="s">
        <v>1050</v>
      </c>
      <c r="E11" s="528" t="s">
        <v>1051</v>
      </c>
      <c r="F11" s="1609"/>
      <c r="G11" s="528" t="s">
        <v>1050</v>
      </c>
      <c r="H11" s="528" t="s">
        <v>1051</v>
      </c>
      <c r="I11" s="1612"/>
      <c r="J11" s="528" t="s">
        <v>1050</v>
      </c>
      <c r="K11" s="529" t="s">
        <v>1051</v>
      </c>
      <c r="AA11" s="527" t="s">
        <v>1052</v>
      </c>
    </row>
    <row r="12" spans="1:27" ht="15" customHeight="1" x14ac:dyDescent="0.25">
      <c r="A12" s="524"/>
      <c r="B12" s="1605"/>
      <c r="C12" s="1606"/>
      <c r="D12" s="530">
        <v>2000</v>
      </c>
      <c r="E12" s="531"/>
      <c r="F12" s="1610"/>
      <c r="G12" s="530">
        <v>2006</v>
      </c>
      <c r="H12" s="531"/>
      <c r="I12" s="1613"/>
      <c r="J12" s="530">
        <v>2012</v>
      </c>
      <c r="K12" s="532">
        <f>SUM(E26:E58)</f>
        <v>26180</v>
      </c>
      <c r="AA12" s="527" t="s">
        <v>1053</v>
      </c>
    </row>
    <row r="13" spans="1:27" x14ac:dyDescent="0.25">
      <c r="A13" s="524"/>
      <c r="B13" s="1605"/>
      <c r="C13" s="1606"/>
      <c r="D13" s="530">
        <v>2001</v>
      </c>
      <c r="E13" s="531"/>
      <c r="F13" s="1610"/>
      <c r="G13" s="530">
        <v>2007</v>
      </c>
      <c r="H13" s="531"/>
      <c r="I13" s="1613"/>
      <c r="J13" s="530">
        <v>2013</v>
      </c>
      <c r="K13" s="532">
        <f>SUM(F26:F58)</f>
        <v>27013</v>
      </c>
      <c r="AA13" s="527" t="s">
        <v>1054</v>
      </c>
    </row>
    <row r="14" spans="1:27" x14ac:dyDescent="0.25">
      <c r="A14" s="524"/>
      <c r="B14" s="1605"/>
      <c r="C14" s="1606"/>
      <c r="D14" s="530">
        <v>2002</v>
      </c>
      <c r="E14" s="531"/>
      <c r="F14" s="1610"/>
      <c r="G14" s="530">
        <v>2008</v>
      </c>
      <c r="H14" s="531"/>
      <c r="I14" s="1613"/>
      <c r="J14" s="530">
        <v>2014</v>
      </c>
      <c r="K14" s="532">
        <f>SUM(G26:G58)+14174</f>
        <v>25000</v>
      </c>
      <c r="AA14" s="527" t="s">
        <v>1055</v>
      </c>
    </row>
    <row r="15" spans="1:27" x14ac:dyDescent="0.25">
      <c r="A15" s="524"/>
      <c r="B15" s="1605"/>
      <c r="C15" s="1606"/>
      <c r="D15" s="530">
        <v>2003</v>
      </c>
      <c r="E15" s="531"/>
      <c r="F15" s="1610"/>
      <c r="G15" s="530">
        <v>2009</v>
      </c>
      <c r="H15" s="531"/>
      <c r="I15" s="1613"/>
      <c r="J15" s="530">
        <v>2015</v>
      </c>
      <c r="K15" s="532">
        <f>SUM(H26:H58)</f>
        <v>27729</v>
      </c>
      <c r="AA15" s="527" t="s">
        <v>1056</v>
      </c>
    </row>
    <row r="16" spans="1:27" x14ac:dyDescent="0.25">
      <c r="A16" s="524"/>
      <c r="B16" s="1605"/>
      <c r="C16" s="1606"/>
      <c r="D16" s="530">
        <v>2004</v>
      </c>
      <c r="E16" s="531"/>
      <c r="F16" s="1610"/>
      <c r="G16" s="530">
        <v>2010</v>
      </c>
      <c r="H16" s="534">
        <f>SUM(C26:C58)</f>
        <v>25866</v>
      </c>
      <c r="I16" s="1613"/>
      <c r="J16" s="530">
        <v>2016</v>
      </c>
      <c r="K16" s="532">
        <f>SUM(I26:I58)+1052</f>
        <v>28795</v>
      </c>
      <c r="AA16" s="527" t="s">
        <v>1057</v>
      </c>
    </row>
    <row r="17" spans="1:27" x14ac:dyDescent="0.25">
      <c r="A17" s="524"/>
      <c r="B17" s="1605"/>
      <c r="C17" s="1606"/>
      <c r="D17" s="530">
        <v>2005</v>
      </c>
      <c r="E17" s="531"/>
      <c r="F17" s="1610"/>
      <c r="G17" s="530">
        <v>2011</v>
      </c>
      <c r="H17" s="534">
        <f>SUM(D26:D58)</f>
        <v>26395</v>
      </c>
      <c r="I17" s="1613"/>
      <c r="J17" s="530">
        <v>2017</v>
      </c>
      <c r="K17" s="532">
        <f>SUM(J26:J58)+1782</f>
        <v>27122</v>
      </c>
      <c r="N17" s="533"/>
      <c r="AA17" s="527" t="s">
        <v>1058</v>
      </c>
    </row>
    <row r="18" spans="1:27" x14ac:dyDescent="0.25">
      <c r="A18" s="524"/>
      <c r="B18" s="1607"/>
      <c r="C18" s="1608"/>
      <c r="D18" s="535"/>
      <c r="E18" s="536"/>
      <c r="F18" s="1611"/>
      <c r="G18" s="537"/>
      <c r="H18" s="537"/>
      <c r="I18" s="1614"/>
      <c r="J18" s="538">
        <v>2018</v>
      </c>
      <c r="K18" s="539">
        <f>SUM(K26:K58)</f>
        <v>0</v>
      </c>
      <c r="N18" s="605">
        <f>H16+H17+K12+K13+K14+K15+K16+K17</f>
        <v>214100</v>
      </c>
      <c r="AA18" s="527" t="s">
        <v>1059</v>
      </c>
    </row>
    <row r="19" spans="1:27" ht="26.25" customHeight="1" x14ac:dyDescent="0.25">
      <c r="A19" s="524"/>
      <c r="B19" s="1580" t="s">
        <v>1060</v>
      </c>
      <c r="C19" s="1581"/>
      <c r="D19" s="1582" t="s">
        <v>886</v>
      </c>
      <c r="E19" s="1583"/>
      <c r="F19" s="1583"/>
      <c r="G19" s="1583"/>
      <c r="H19" s="1583"/>
      <c r="I19" s="1583"/>
      <c r="J19" s="1583"/>
      <c r="K19" s="1583"/>
      <c r="L19" s="606">
        <v>2015</v>
      </c>
      <c r="M19" s="606">
        <v>2016</v>
      </c>
      <c r="N19" s="606">
        <v>2017</v>
      </c>
      <c r="AA19" s="526" t="s">
        <v>1061</v>
      </c>
    </row>
    <row r="20" spans="1:27" ht="87" customHeight="1" x14ac:dyDescent="0.25">
      <c r="A20" s="524"/>
      <c r="B20" s="1580" t="s">
        <v>1062</v>
      </c>
      <c r="C20" s="1581"/>
      <c r="D20" s="1615" t="s">
        <v>1128</v>
      </c>
      <c r="E20" s="1616"/>
      <c r="F20" s="1616"/>
      <c r="G20" s="1616"/>
      <c r="H20" s="1616"/>
      <c r="I20" s="1616"/>
      <c r="J20" s="1616"/>
      <c r="K20" s="1616"/>
      <c r="L20" s="607">
        <f>H16+H17+K12+K13+K14+K15</f>
        <v>158183</v>
      </c>
      <c r="M20" s="607">
        <f>L20+K16</f>
        <v>186978</v>
      </c>
      <c r="N20" s="607">
        <f>M20+K17</f>
        <v>214100</v>
      </c>
      <c r="AA20" s="527" t="s">
        <v>1064</v>
      </c>
    </row>
    <row r="21" spans="1:27" ht="22.5" customHeight="1" x14ac:dyDescent="0.25">
      <c r="A21" s="524"/>
      <c r="B21" s="1580" t="s">
        <v>1065</v>
      </c>
      <c r="C21" s="1581"/>
      <c r="D21" s="540"/>
      <c r="E21" s="541"/>
      <c r="F21" s="541"/>
      <c r="G21" s="541"/>
      <c r="H21" s="541"/>
      <c r="I21" s="541"/>
      <c r="J21" s="541"/>
      <c r="K21" s="542"/>
      <c r="AA21" s="527" t="s">
        <v>1066</v>
      </c>
    </row>
    <row r="22" spans="1:27" ht="22.5" customHeight="1" x14ac:dyDescent="0.25">
      <c r="A22" s="524"/>
      <c r="B22" s="1618"/>
      <c r="C22" s="1619"/>
      <c r="D22" s="543"/>
      <c r="E22" s="563" t="s">
        <v>1129</v>
      </c>
      <c r="F22" s="545"/>
      <c r="G22" s="544"/>
      <c r="H22" s="545"/>
      <c r="I22" s="541"/>
      <c r="J22" s="545"/>
      <c r="K22" s="542"/>
      <c r="AA22" s="527" t="s">
        <v>1067</v>
      </c>
    </row>
    <row r="23" spans="1:27" ht="22.5" customHeight="1" x14ac:dyDescent="0.25">
      <c r="A23" s="524"/>
      <c r="B23" s="1620"/>
      <c r="C23" s="1621"/>
      <c r="D23" s="546"/>
      <c r="E23" s="547" t="s">
        <v>1068</v>
      </c>
      <c r="F23" s="547"/>
      <c r="G23" s="547" t="s">
        <v>1069</v>
      </c>
      <c r="H23" s="547"/>
      <c r="I23" s="547"/>
      <c r="J23" s="547"/>
      <c r="K23" s="548"/>
      <c r="AA23" s="527" t="s">
        <v>1070</v>
      </c>
    </row>
    <row r="24" spans="1:27" ht="31.5" customHeight="1" x14ac:dyDescent="0.25">
      <c r="A24" s="524"/>
      <c r="B24" s="1622" t="s">
        <v>1071</v>
      </c>
      <c r="C24" s="1623"/>
      <c r="D24" s="1623"/>
      <c r="E24" s="1623"/>
      <c r="F24" s="1623"/>
      <c r="G24" s="1623"/>
      <c r="H24" s="1623"/>
      <c r="I24" s="1623"/>
      <c r="J24" s="1623"/>
      <c r="K24" s="1624"/>
      <c r="AA24" s="527" t="s">
        <v>1072</v>
      </c>
    </row>
    <row r="25" spans="1:27" x14ac:dyDescent="0.25">
      <c r="A25" s="524"/>
      <c r="B25" s="549" t="s">
        <v>1073</v>
      </c>
      <c r="C25" s="550">
        <v>2010</v>
      </c>
      <c r="D25" s="550">
        <v>2011</v>
      </c>
      <c r="E25" s="550">
        <v>2012</v>
      </c>
      <c r="F25" s="550">
        <v>2013</v>
      </c>
      <c r="G25" s="550">
        <v>2014</v>
      </c>
      <c r="H25" s="550">
        <v>2015</v>
      </c>
      <c r="I25" s="550">
        <v>2016</v>
      </c>
      <c r="J25" s="550">
        <v>2017</v>
      </c>
      <c r="K25" s="551">
        <v>2018</v>
      </c>
      <c r="L25" s="552"/>
      <c r="M25" s="552"/>
      <c r="AA25" s="527" t="s">
        <v>1074</v>
      </c>
    </row>
    <row r="26" spans="1:27" x14ac:dyDescent="0.25">
      <c r="A26" s="524"/>
      <c r="B26" s="553" t="s">
        <v>1075</v>
      </c>
      <c r="C26" s="564">
        <v>3579</v>
      </c>
      <c r="D26" s="564">
        <v>2112</v>
      </c>
      <c r="E26" s="564">
        <v>596</v>
      </c>
      <c r="F26" s="564">
        <v>764</v>
      </c>
      <c r="G26" s="564">
        <v>705</v>
      </c>
      <c r="H26" s="564">
        <v>1444</v>
      </c>
      <c r="I26" s="564">
        <v>2273</v>
      </c>
      <c r="J26" s="564">
        <f>2405+831</f>
        <v>3236</v>
      </c>
      <c r="K26" s="558"/>
      <c r="AA26" s="527" t="s">
        <v>1076</v>
      </c>
    </row>
    <row r="27" spans="1:27" ht="14.25" customHeight="1" x14ac:dyDescent="0.25">
      <c r="A27" s="524"/>
      <c r="B27" s="553" t="s">
        <v>1077</v>
      </c>
      <c r="C27" s="565">
        <v>857</v>
      </c>
      <c r="D27" s="565">
        <v>878</v>
      </c>
      <c r="E27" s="565">
        <v>595</v>
      </c>
      <c r="F27" s="565">
        <v>427</v>
      </c>
      <c r="G27" s="565">
        <v>185</v>
      </c>
      <c r="H27" s="565">
        <v>1076</v>
      </c>
      <c r="I27" s="565">
        <v>267</v>
      </c>
      <c r="J27" s="565">
        <v>154</v>
      </c>
      <c r="K27" s="558"/>
      <c r="AA27" s="527" t="s">
        <v>1035</v>
      </c>
    </row>
    <row r="28" spans="1:27" x14ac:dyDescent="0.25">
      <c r="A28" s="524"/>
      <c r="B28" s="553" t="s">
        <v>1078</v>
      </c>
      <c r="C28" s="565">
        <f>10116+142</f>
        <v>10258</v>
      </c>
      <c r="D28" s="565">
        <v>5313</v>
      </c>
      <c r="E28" s="565">
        <v>6878</v>
      </c>
      <c r="F28" s="565">
        <f>7598+2119</f>
        <v>9717</v>
      </c>
      <c r="G28" s="565">
        <v>4077</v>
      </c>
      <c r="H28" s="565">
        <f>5543+297</f>
        <v>5840</v>
      </c>
      <c r="I28" s="565">
        <v>9772</v>
      </c>
      <c r="J28" s="565">
        <f>3092+83</f>
        <v>3175</v>
      </c>
      <c r="K28" s="558"/>
      <c r="AA28" s="527" t="s">
        <v>1079</v>
      </c>
    </row>
    <row r="29" spans="1:27" x14ac:dyDescent="0.25">
      <c r="A29" s="524"/>
      <c r="B29" s="553" t="s">
        <v>1080</v>
      </c>
      <c r="C29" s="565">
        <v>457</v>
      </c>
      <c r="D29" s="565">
        <v>1170</v>
      </c>
      <c r="E29" s="565">
        <v>696</v>
      </c>
      <c r="F29" s="565">
        <v>1235</v>
      </c>
      <c r="G29" s="565">
        <v>391</v>
      </c>
      <c r="H29" s="565">
        <v>1381</v>
      </c>
      <c r="I29" s="565">
        <v>418</v>
      </c>
      <c r="J29" s="565">
        <v>62</v>
      </c>
      <c r="K29" s="558"/>
      <c r="AA29" s="527" t="s">
        <v>1081</v>
      </c>
    </row>
    <row r="30" spans="1:27" x14ac:dyDescent="0.25">
      <c r="A30" s="524"/>
      <c r="B30" s="553" t="s">
        <v>1082</v>
      </c>
      <c r="C30" s="565">
        <v>422</v>
      </c>
      <c r="D30" s="565">
        <v>156</v>
      </c>
      <c r="E30" s="565">
        <v>1668</v>
      </c>
      <c r="F30" s="565">
        <v>561</v>
      </c>
      <c r="G30" s="565">
        <v>8</v>
      </c>
      <c r="H30" s="565">
        <v>1301</v>
      </c>
      <c r="I30" s="565">
        <v>247</v>
      </c>
      <c r="J30" s="565">
        <v>2089</v>
      </c>
      <c r="K30" s="558"/>
    </row>
    <row r="31" spans="1:27" x14ac:dyDescent="0.25">
      <c r="A31" s="524"/>
      <c r="B31" s="553" t="s">
        <v>1083</v>
      </c>
      <c r="C31" s="565">
        <v>982</v>
      </c>
      <c r="D31" s="565">
        <v>760</v>
      </c>
      <c r="E31" s="565">
        <v>425</v>
      </c>
      <c r="F31" s="565">
        <v>1270</v>
      </c>
      <c r="G31" s="565">
        <v>61</v>
      </c>
      <c r="H31" s="565">
        <v>399</v>
      </c>
      <c r="I31" s="565">
        <v>2416</v>
      </c>
      <c r="J31" s="565">
        <v>654</v>
      </c>
      <c r="K31" s="558"/>
    </row>
    <row r="32" spans="1:27" x14ac:dyDescent="0.25">
      <c r="A32" s="524"/>
      <c r="B32" s="553" t="s">
        <v>1084</v>
      </c>
      <c r="C32" s="565">
        <v>28</v>
      </c>
      <c r="D32" s="565">
        <v>68</v>
      </c>
      <c r="E32" s="565">
        <v>125</v>
      </c>
      <c r="F32" s="565">
        <v>87</v>
      </c>
      <c r="G32" s="565">
        <v>2</v>
      </c>
      <c r="H32" s="565">
        <v>157</v>
      </c>
      <c r="I32" s="565">
        <v>266</v>
      </c>
      <c r="J32" s="565">
        <v>405</v>
      </c>
      <c r="K32" s="558"/>
    </row>
    <row r="33" spans="1:11" x14ac:dyDescent="0.25">
      <c r="A33" s="524"/>
      <c r="B33" s="553" t="s">
        <v>1085</v>
      </c>
      <c r="C33" s="565">
        <v>330</v>
      </c>
      <c r="D33" s="565">
        <v>553</v>
      </c>
      <c r="E33" s="565">
        <v>318</v>
      </c>
      <c r="F33" s="565">
        <v>119</v>
      </c>
      <c r="G33" s="565">
        <v>4</v>
      </c>
      <c r="H33" s="565">
        <v>194</v>
      </c>
      <c r="I33" s="565">
        <v>56</v>
      </c>
      <c r="J33" s="565">
        <v>761</v>
      </c>
      <c r="K33" s="558"/>
    </row>
    <row r="34" spans="1:11" x14ac:dyDescent="0.25">
      <c r="A34" s="524"/>
      <c r="B34" s="553" t="s">
        <v>1086</v>
      </c>
      <c r="C34" s="565">
        <v>1163</v>
      </c>
      <c r="D34" s="565">
        <v>603</v>
      </c>
      <c r="E34" s="565">
        <v>750</v>
      </c>
      <c r="F34" s="565">
        <v>1188</v>
      </c>
      <c r="G34" s="565">
        <v>520</v>
      </c>
      <c r="H34" s="565">
        <v>279</v>
      </c>
      <c r="I34" s="565">
        <v>642</v>
      </c>
      <c r="J34" s="565">
        <f>51+134</f>
        <v>185</v>
      </c>
      <c r="K34" s="558"/>
    </row>
    <row r="35" spans="1:11" x14ac:dyDescent="0.25">
      <c r="A35" s="524"/>
      <c r="B35" s="553" t="s">
        <v>1087</v>
      </c>
      <c r="C35" s="565">
        <v>133</v>
      </c>
      <c r="D35" s="565">
        <v>310</v>
      </c>
      <c r="E35" s="565">
        <v>100</v>
      </c>
      <c r="F35" s="565">
        <v>122</v>
      </c>
      <c r="G35" s="565">
        <v>53</v>
      </c>
      <c r="H35" s="565">
        <v>477</v>
      </c>
      <c r="I35" s="565">
        <v>136</v>
      </c>
      <c r="J35" s="565">
        <f>83+60</f>
        <v>143</v>
      </c>
      <c r="K35" s="558"/>
    </row>
    <row r="36" spans="1:11" x14ac:dyDescent="0.25">
      <c r="A36" s="524"/>
      <c r="B36" s="553" t="s">
        <v>1088</v>
      </c>
      <c r="C36" s="565">
        <v>1722</v>
      </c>
      <c r="D36" s="565">
        <v>1601</v>
      </c>
      <c r="E36" s="565">
        <v>1193</v>
      </c>
      <c r="F36" s="565">
        <v>1509</v>
      </c>
      <c r="G36" s="565">
        <v>1116</v>
      </c>
      <c r="H36" s="565">
        <v>4439</v>
      </c>
      <c r="I36" s="565">
        <v>1716</v>
      </c>
      <c r="J36" s="565">
        <f>3304+75</f>
        <v>3379</v>
      </c>
      <c r="K36" s="558"/>
    </row>
    <row r="37" spans="1:11" x14ac:dyDescent="0.25">
      <c r="A37" s="524"/>
      <c r="B37" s="553" t="s">
        <v>1089</v>
      </c>
      <c r="C37" s="565">
        <v>62</v>
      </c>
      <c r="D37" s="565">
        <v>38</v>
      </c>
      <c r="E37" s="565">
        <v>109</v>
      </c>
      <c r="F37" s="565">
        <v>73</v>
      </c>
      <c r="G37" s="565">
        <v>8</v>
      </c>
      <c r="H37" s="565">
        <v>118</v>
      </c>
      <c r="I37" s="565">
        <v>169</v>
      </c>
      <c r="J37" s="565">
        <f>11+130</f>
        <v>141</v>
      </c>
      <c r="K37" s="558"/>
    </row>
    <row r="38" spans="1:11" x14ac:dyDescent="0.25">
      <c r="A38" s="524"/>
      <c r="B38" s="553" t="s">
        <v>1090</v>
      </c>
      <c r="C38" s="565">
        <v>104</v>
      </c>
      <c r="D38" s="565">
        <v>316</v>
      </c>
      <c r="E38" s="565">
        <v>945</v>
      </c>
      <c r="F38" s="565">
        <v>211</v>
      </c>
      <c r="G38" s="565">
        <v>42</v>
      </c>
      <c r="H38" s="565">
        <v>554</v>
      </c>
      <c r="I38" s="565">
        <v>1280</v>
      </c>
      <c r="J38" s="565">
        <v>1130</v>
      </c>
      <c r="K38" s="558"/>
    </row>
    <row r="39" spans="1:11" x14ac:dyDescent="0.25">
      <c r="A39" s="524"/>
      <c r="B39" s="553" t="s">
        <v>1091</v>
      </c>
      <c r="C39" s="565">
        <v>92</v>
      </c>
      <c r="D39" s="565">
        <v>83</v>
      </c>
      <c r="E39" s="565">
        <v>67</v>
      </c>
      <c r="F39" s="565">
        <v>122</v>
      </c>
      <c r="G39" s="565">
        <v>80</v>
      </c>
      <c r="H39" s="565">
        <v>219</v>
      </c>
      <c r="I39" s="565">
        <v>164</v>
      </c>
      <c r="J39" s="565">
        <v>175</v>
      </c>
      <c r="K39" s="558"/>
    </row>
    <row r="40" spans="1:11" x14ac:dyDescent="0.25">
      <c r="A40" s="524"/>
      <c r="B40" s="553" t="s">
        <v>1092</v>
      </c>
      <c r="C40" s="565">
        <v>332</v>
      </c>
      <c r="D40" s="565">
        <v>248</v>
      </c>
      <c r="E40" s="565">
        <v>300</v>
      </c>
      <c r="F40" s="565">
        <v>623</v>
      </c>
      <c r="G40" s="565">
        <v>94</v>
      </c>
      <c r="H40" s="565">
        <v>690</v>
      </c>
      <c r="I40" s="565">
        <v>444</v>
      </c>
      <c r="J40" s="565">
        <v>550</v>
      </c>
      <c r="K40" s="558"/>
    </row>
    <row r="41" spans="1:11" x14ac:dyDescent="0.25">
      <c r="A41" s="524"/>
      <c r="B41" s="553" t="s">
        <v>67</v>
      </c>
      <c r="C41" s="565">
        <v>657</v>
      </c>
      <c r="D41" s="565">
        <v>609</v>
      </c>
      <c r="E41" s="565">
        <v>4036</v>
      </c>
      <c r="F41" s="565">
        <v>597</v>
      </c>
      <c r="G41" s="565">
        <v>2068</v>
      </c>
      <c r="H41" s="565">
        <v>498</v>
      </c>
      <c r="I41" s="565">
        <v>544</v>
      </c>
      <c r="J41" s="565">
        <f>842+488</f>
        <v>1330</v>
      </c>
      <c r="K41" s="558"/>
    </row>
    <row r="42" spans="1:11" x14ac:dyDescent="0.25">
      <c r="A42" s="524"/>
      <c r="B42" s="553" t="s">
        <v>1093</v>
      </c>
      <c r="C42" s="565">
        <v>624</v>
      </c>
      <c r="D42" s="565">
        <v>1422</v>
      </c>
      <c r="E42" s="565">
        <v>485</v>
      </c>
      <c r="F42" s="565">
        <v>726</v>
      </c>
      <c r="G42" s="565">
        <v>176</v>
      </c>
      <c r="H42" s="565">
        <v>714</v>
      </c>
      <c r="I42" s="565">
        <v>1129</v>
      </c>
      <c r="J42" s="565">
        <f>825+362</f>
        <v>1187</v>
      </c>
      <c r="K42" s="558"/>
    </row>
    <row r="43" spans="1:11" x14ac:dyDescent="0.25">
      <c r="A43" s="524"/>
      <c r="B43" s="553" t="s">
        <v>1094</v>
      </c>
      <c r="C43" s="565">
        <v>290</v>
      </c>
      <c r="D43" s="565">
        <v>403</v>
      </c>
      <c r="E43" s="565">
        <v>308</v>
      </c>
      <c r="F43" s="565">
        <v>1481</v>
      </c>
      <c r="G43" s="565">
        <v>4</v>
      </c>
      <c r="H43" s="565">
        <v>422</v>
      </c>
      <c r="I43" s="565">
        <v>466</v>
      </c>
      <c r="J43" s="565">
        <f>681+281</f>
        <v>962</v>
      </c>
      <c r="K43" s="558"/>
    </row>
    <row r="44" spans="1:11" x14ac:dyDescent="0.25">
      <c r="A44" s="524"/>
      <c r="B44" s="553" t="s">
        <v>1095</v>
      </c>
      <c r="C44" s="565">
        <v>517</v>
      </c>
      <c r="D44" s="565">
        <v>2196</v>
      </c>
      <c r="E44" s="565">
        <v>345</v>
      </c>
      <c r="F44" s="565">
        <v>913</v>
      </c>
      <c r="G44" s="565">
        <v>52</v>
      </c>
      <c r="H44" s="565">
        <v>531</v>
      </c>
      <c r="I44" s="565">
        <v>184</v>
      </c>
      <c r="J44" s="565">
        <v>48</v>
      </c>
      <c r="K44" s="558"/>
    </row>
    <row r="45" spans="1:11" x14ac:dyDescent="0.25">
      <c r="A45" s="524"/>
      <c r="B45" s="553" t="s">
        <v>1096</v>
      </c>
      <c r="C45" s="565">
        <v>643</v>
      </c>
      <c r="D45" s="565">
        <v>1166</v>
      </c>
      <c r="E45" s="565">
        <v>2211</v>
      </c>
      <c r="F45" s="565">
        <v>1554</v>
      </c>
      <c r="G45" s="565">
        <v>181</v>
      </c>
      <c r="H45" s="565">
        <v>1218</v>
      </c>
      <c r="I45" s="565">
        <v>241</v>
      </c>
      <c r="J45" s="565">
        <v>1172</v>
      </c>
      <c r="K45" s="558"/>
    </row>
    <row r="46" spans="1:11" x14ac:dyDescent="0.25">
      <c r="A46" s="524"/>
      <c r="B46" s="553" t="s">
        <v>1097</v>
      </c>
      <c r="C46" s="565">
        <v>1204</v>
      </c>
      <c r="D46" s="565">
        <v>1940</v>
      </c>
      <c r="E46" s="565">
        <v>951</v>
      </c>
      <c r="F46" s="565">
        <v>1989</v>
      </c>
      <c r="G46" s="565">
        <v>470</v>
      </c>
      <c r="H46" s="565">
        <v>2716</v>
      </c>
      <c r="I46" s="565">
        <v>1456</v>
      </c>
      <c r="J46" s="565">
        <v>1044</v>
      </c>
      <c r="K46" s="558"/>
    </row>
    <row r="47" spans="1:11" x14ac:dyDescent="0.25">
      <c r="A47" s="524"/>
      <c r="B47" s="553" t="s">
        <v>1098</v>
      </c>
      <c r="C47" s="565">
        <v>80</v>
      </c>
      <c r="D47" s="565">
        <v>132</v>
      </c>
      <c r="E47" s="565">
        <v>978</v>
      </c>
      <c r="F47" s="565">
        <v>171</v>
      </c>
      <c r="G47" s="565">
        <v>49</v>
      </c>
      <c r="H47" s="565">
        <v>648</v>
      </c>
      <c r="I47" s="565">
        <v>340</v>
      </c>
      <c r="J47" s="565">
        <v>156</v>
      </c>
      <c r="K47" s="558"/>
    </row>
    <row r="48" spans="1:11" x14ac:dyDescent="0.25">
      <c r="A48" s="524"/>
      <c r="B48" s="553" t="s">
        <v>1099</v>
      </c>
      <c r="C48" s="565">
        <v>283</v>
      </c>
      <c r="D48" s="565">
        <v>404</v>
      </c>
      <c r="E48" s="565">
        <v>643</v>
      </c>
      <c r="F48" s="565">
        <v>394</v>
      </c>
      <c r="G48" s="565">
        <v>20</v>
      </c>
      <c r="H48" s="565">
        <v>1041</v>
      </c>
      <c r="I48" s="565">
        <v>1292</v>
      </c>
      <c r="J48" s="565">
        <f>485+444</f>
        <v>929</v>
      </c>
      <c r="K48" s="558"/>
    </row>
    <row r="49" spans="1:11" x14ac:dyDescent="0.25">
      <c r="A49" s="524"/>
      <c r="B49" s="553" t="s">
        <v>1100</v>
      </c>
      <c r="C49" s="565">
        <v>820</v>
      </c>
      <c r="D49" s="565">
        <v>3501</v>
      </c>
      <c r="E49" s="565">
        <v>767</v>
      </c>
      <c r="F49" s="565">
        <v>545</v>
      </c>
      <c r="G49" s="565">
        <v>393</v>
      </c>
      <c r="H49" s="565">
        <v>1344</v>
      </c>
      <c r="I49" s="565">
        <v>1507</v>
      </c>
      <c r="J49" s="565">
        <v>225</v>
      </c>
      <c r="K49" s="558"/>
    </row>
    <row r="50" spans="1:11" x14ac:dyDescent="0.25">
      <c r="A50" s="524"/>
      <c r="B50" s="553" t="s">
        <v>1101</v>
      </c>
      <c r="C50" s="565">
        <v>0</v>
      </c>
      <c r="D50" s="565">
        <v>351</v>
      </c>
      <c r="E50" s="565">
        <v>31</v>
      </c>
      <c r="F50" s="565">
        <v>10</v>
      </c>
      <c r="G50" s="565">
        <v>5</v>
      </c>
      <c r="H50" s="565">
        <v>4</v>
      </c>
      <c r="I50" s="565">
        <v>11</v>
      </c>
      <c r="J50" s="565">
        <f>272+421</f>
        <v>693</v>
      </c>
      <c r="K50" s="558"/>
    </row>
    <row r="51" spans="1:11" x14ac:dyDescent="0.25">
      <c r="A51" s="524"/>
      <c r="B51" s="553" t="s">
        <v>1102</v>
      </c>
      <c r="C51" s="565">
        <v>161</v>
      </c>
      <c r="D51" s="565">
        <v>51</v>
      </c>
      <c r="E51" s="565">
        <v>28</v>
      </c>
      <c r="F51" s="565">
        <v>424</v>
      </c>
      <c r="G51" s="565">
        <v>5</v>
      </c>
      <c r="H51" s="565">
        <v>17</v>
      </c>
      <c r="I51" s="565"/>
      <c r="J51" s="565">
        <v>0</v>
      </c>
      <c r="K51" s="558"/>
    </row>
    <row r="52" spans="1:11" x14ac:dyDescent="0.25">
      <c r="A52" s="524"/>
      <c r="B52" s="553" t="s">
        <v>1103</v>
      </c>
      <c r="C52" s="565">
        <v>16</v>
      </c>
      <c r="D52" s="565">
        <v>2</v>
      </c>
      <c r="E52" s="565">
        <v>569</v>
      </c>
      <c r="F52" s="565">
        <v>158</v>
      </c>
      <c r="G52" s="565">
        <v>1</v>
      </c>
      <c r="H52" s="565">
        <v>0</v>
      </c>
      <c r="I52" s="565">
        <v>45</v>
      </c>
      <c r="J52" s="565">
        <f>297+318</f>
        <v>615</v>
      </c>
      <c r="K52" s="558"/>
    </row>
    <row r="53" spans="1:11" x14ac:dyDescent="0.25">
      <c r="A53" s="524"/>
      <c r="B53" s="553" t="s">
        <v>1104</v>
      </c>
      <c r="C53" s="565">
        <v>38</v>
      </c>
      <c r="D53" s="565">
        <v>4</v>
      </c>
      <c r="E53" s="565">
        <v>48</v>
      </c>
      <c r="F53" s="565">
        <v>5</v>
      </c>
      <c r="G53" s="565">
        <v>53</v>
      </c>
      <c r="H53" s="565">
        <v>5</v>
      </c>
      <c r="I53" s="565">
        <v>9</v>
      </c>
      <c r="J53" s="565">
        <v>0</v>
      </c>
      <c r="K53" s="558"/>
    </row>
    <row r="54" spans="1:11" x14ac:dyDescent="0.25">
      <c r="A54" s="524"/>
      <c r="B54" s="553" t="s">
        <v>1105</v>
      </c>
      <c r="C54" s="565">
        <v>12</v>
      </c>
      <c r="D54" s="565">
        <v>5</v>
      </c>
      <c r="E54" s="565">
        <v>15</v>
      </c>
      <c r="F54" s="565">
        <v>18</v>
      </c>
      <c r="G54" s="565">
        <v>3</v>
      </c>
      <c r="H54" s="565">
        <v>3</v>
      </c>
      <c r="I54" s="565">
        <v>248</v>
      </c>
      <c r="J54" s="565">
        <v>90</v>
      </c>
      <c r="K54" s="558"/>
    </row>
    <row r="55" spans="1:11" x14ac:dyDescent="0.25">
      <c r="A55" s="524"/>
      <c r="B55" s="553" t="s">
        <v>1106</v>
      </c>
      <c r="C55" s="565">
        <v>0</v>
      </c>
      <c r="D55" s="565">
        <v>0</v>
      </c>
      <c r="E55" s="565">
        <v>0</v>
      </c>
      <c r="F55" s="565">
        <v>0</v>
      </c>
      <c r="G55" s="565">
        <v>0</v>
      </c>
      <c r="H55" s="565">
        <v>0</v>
      </c>
      <c r="I55" s="565">
        <v>2</v>
      </c>
      <c r="J55" s="565">
        <v>11</v>
      </c>
      <c r="K55" s="558"/>
    </row>
    <row r="56" spans="1:11" x14ac:dyDescent="0.25">
      <c r="A56" s="524"/>
      <c r="B56" s="553" t="s">
        <v>1107</v>
      </c>
      <c r="C56" s="565">
        <v>0</v>
      </c>
      <c r="D56" s="565">
        <v>0</v>
      </c>
      <c r="E56" s="565">
        <v>0</v>
      </c>
      <c r="F56" s="565">
        <v>0</v>
      </c>
      <c r="G56" s="565">
        <v>0</v>
      </c>
      <c r="H56" s="565">
        <v>0</v>
      </c>
      <c r="I56" s="565">
        <v>3</v>
      </c>
      <c r="J56" s="565">
        <f>174+465</f>
        <v>639</v>
      </c>
      <c r="K56" s="558"/>
    </row>
    <row r="57" spans="1:11" x14ac:dyDescent="0.25">
      <c r="A57" s="524"/>
      <c r="B57" s="553" t="s">
        <v>1108</v>
      </c>
      <c r="C57" s="565">
        <v>0</v>
      </c>
      <c r="D57" s="565">
        <v>0</v>
      </c>
      <c r="E57" s="565">
        <v>0</v>
      </c>
      <c r="F57" s="565">
        <v>0</v>
      </c>
      <c r="G57" s="565">
        <v>0</v>
      </c>
      <c r="H57" s="565">
        <v>0</v>
      </c>
      <c r="I57" s="565"/>
      <c r="J57" s="565"/>
      <c r="K57" s="558"/>
    </row>
    <row r="58" spans="1:11" ht="15.75" thickBot="1" x14ac:dyDescent="0.3">
      <c r="A58" s="524"/>
      <c r="B58" s="559" t="s">
        <v>1109</v>
      </c>
      <c r="C58" s="566">
        <v>0</v>
      </c>
      <c r="D58" s="566">
        <v>0</v>
      </c>
      <c r="E58" s="566">
        <v>0</v>
      </c>
      <c r="F58" s="566">
        <v>0</v>
      </c>
      <c r="G58" s="566">
        <v>0</v>
      </c>
      <c r="H58" s="566">
        <v>0</v>
      </c>
      <c r="I58" s="566"/>
      <c r="J58" s="566"/>
      <c r="K58" s="561"/>
    </row>
    <row r="59" spans="1:11" ht="15" customHeight="1" x14ac:dyDescent="0.3">
      <c r="B59" s="1572" t="s">
        <v>1110</v>
      </c>
      <c r="C59" s="1573"/>
      <c r="D59" s="1573"/>
      <c r="E59" s="1573"/>
      <c r="F59" s="1573"/>
      <c r="G59" s="1573"/>
      <c r="H59" s="1573"/>
      <c r="I59" s="1573"/>
      <c r="J59" s="1573"/>
      <c r="K59" s="1574"/>
    </row>
    <row r="60" spans="1:11" x14ac:dyDescent="0.25">
      <c r="B60" s="1625" t="s">
        <v>1111</v>
      </c>
      <c r="C60" s="1626"/>
      <c r="D60" s="540"/>
      <c r="E60" s="541"/>
      <c r="F60" s="541"/>
      <c r="G60" s="541"/>
      <c r="H60" s="541"/>
      <c r="I60" s="541"/>
      <c r="J60" s="541"/>
      <c r="K60" s="542"/>
    </row>
    <row r="61" spans="1:11" x14ac:dyDescent="0.25">
      <c r="B61" s="1605"/>
      <c r="C61" s="1627"/>
      <c r="D61" s="543"/>
      <c r="E61" s="544"/>
      <c r="F61" s="545"/>
      <c r="G61" s="544" t="s">
        <v>1112</v>
      </c>
      <c r="H61" s="545"/>
      <c r="I61" s="541"/>
      <c r="J61" s="545"/>
      <c r="K61" s="542"/>
    </row>
    <row r="62" spans="1:11" x14ac:dyDescent="0.25">
      <c r="B62" s="1628"/>
      <c r="C62" s="1629"/>
      <c r="D62" s="546"/>
      <c r="E62" s="547" t="s">
        <v>1068</v>
      </c>
      <c r="F62" s="547"/>
      <c r="G62" s="547" t="s">
        <v>1069</v>
      </c>
      <c r="H62" s="547"/>
      <c r="I62" s="547"/>
      <c r="J62" s="547"/>
      <c r="K62" s="548"/>
    </row>
    <row r="63" spans="1:11" ht="52.5" customHeight="1" x14ac:dyDescent="0.25">
      <c r="B63" s="1575" t="s">
        <v>1113</v>
      </c>
      <c r="C63" s="1576"/>
      <c r="D63" s="1577"/>
      <c r="E63" s="1578"/>
      <c r="F63" s="1578"/>
      <c r="G63" s="1578"/>
      <c r="H63" s="1578"/>
      <c r="I63" s="1578"/>
      <c r="J63" s="1578"/>
      <c r="K63" s="1579"/>
    </row>
    <row r="64" spans="1:11" ht="15" customHeight="1" x14ac:dyDescent="0.3">
      <c r="B64" s="1572" t="s">
        <v>1114</v>
      </c>
      <c r="C64" s="1573"/>
      <c r="D64" s="1573"/>
      <c r="E64" s="1573"/>
      <c r="F64" s="1573"/>
      <c r="G64" s="1573"/>
      <c r="H64" s="1573"/>
      <c r="I64" s="1573"/>
      <c r="J64" s="1573"/>
      <c r="K64" s="1574"/>
    </row>
    <row r="65" spans="2:11" ht="19.5" customHeight="1" x14ac:dyDescent="0.25">
      <c r="B65" s="1575" t="s">
        <v>1115</v>
      </c>
      <c r="C65" s="1576"/>
      <c r="D65" s="1577" t="s">
        <v>1130</v>
      </c>
      <c r="E65" s="1578"/>
      <c r="F65" s="1578"/>
      <c r="G65" s="1578"/>
      <c r="H65" s="1578"/>
      <c r="I65" s="1578"/>
      <c r="J65" s="1578"/>
      <c r="K65" s="1579"/>
    </row>
    <row r="66" spans="2:11" ht="19.5" customHeight="1" x14ac:dyDescent="0.25">
      <c r="B66" s="1585" t="s">
        <v>1117</v>
      </c>
      <c r="C66" s="1586"/>
      <c r="D66" s="1587" t="s">
        <v>1131</v>
      </c>
      <c r="E66" s="1587"/>
      <c r="F66" s="1587"/>
      <c r="G66" s="1587"/>
      <c r="H66" s="1587"/>
      <c r="I66" s="1587"/>
      <c r="J66" s="1587"/>
      <c r="K66" s="1588"/>
    </row>
    <row r="67" spans="2:11" ht="19.5" customHeight="1" x14ac:dyDescent="0.25">
      <c r="B67" s="1585" t="s">
        <v>1119</v>
      </c>
      <c r="C67" s="1586"/>
      <c r="D67" s="1587" t="s">
        <v>1132</v>
      </c>
      <c r="E67" s="1587"/>
      <c r="F67" s="1587"/>
      <c r="G67" s="1587"/>
      <c r="H67" s="1587"/>
      <c r="I67" s="1587"/>
      <c r="J67" s="1587"/>
      <c r="K67" s="1588"/>
    </row>
    <row r="68" spans="2:11" ht="19.5" customHeight="1" x14ac:dyDescent="0.25">
      <c r="B68" s="1589" t="s">
        <v>1121</v>
      </c>
      <c r="C68" s="1630"/>
      <c r="D68" s="1631" t="s">
        <v>1133</v>
      </c>
      <c r="E68" s="1597"/>
      <c r="F68" s="1597"/>
      <c r="G68" s="1597"/>
      <c r="H68" s="1597"/>
      <c r="I68" s="1597"/>
      <c r="J68" s="1597"/>
      <c r="K68" s="1598"/>
    </row>
    <row r="69" spans="2:11" ht="19.5" customHeight="1" thickBot="1" x14ac:dyDescent="0.3">
      <c r="B69" s="1632" t="s">
        <v>1123</v>
      </c>
      <c r="C69" s="1633"/>
      <c r="D69" s="1634" t="s">
        <v>1134</v>
      </c>
      <c r="E69" s="1635"/>
      <c r="F69" s="1635"/>
      <c r="G69" s="1635"/>
      <c r="H69" s="1635"/>
      <c r="I69" s="1635"/>
      <c r="J69" s="1635"/>
      <c r="K69" s="1636"/>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horizontalDpi="4294967293" verticalDpi="4294967293" r:id="rId2"/>
  <headerFooter>
    <oddFooter>&amp;CPágina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6" activePane="bottomRight" state="frozen"/>
      <selection activeCell="N20" sqref="N20"/>
      <selection pane="topRight" activeCell="N20" sqref="N20"/>
      <selection pane="bottomLeft" activeCell="N20" sqref="N20"/>
      <selection pane="bottomRight" activeCell="N20" sqref="N20"/>
    </sheetView>
  </sheetViews>
  <sheetFormatPr baseColWidth="10" defaultColWidth="14.42578125" defaultRowHeight="15" customHeight="1" x14ac:dyDescent="0.25"/>
  <cols>
    <col min="1" max="1" width="2.28515625" style="526" customWidth="1"/>
    <col min="2" max="2" width="15.5703125" style="562" customWidth="1"/>
    <col min="3" max="3" width="16.5703125" style="562" customWidth="1"/>
    <col min="4" max="10" width="10.7109375" style="562" customWidth="1"/>
    <col min="11" max="11" width="31.140625" style="562" customWidth="1"/>
    <col min="12" max="26" width="14.42578125" style="526"/>
    <col min="27" max="27" width="0" style="526" hidden="1" customWidth="1"/>
    <col min="28" max="16384" width="14.42578125" style="526"/>
  </cols>
  <sheetData>
    <row r="1" spans="1:27" ht="15.75" thickBot="1" x14ac:dyDescent="0.3">
      <c r="A1" s="524"/>
      <c r="B1" s="525"/>
      <c r="C1" s="525"/>
      <c r="D1" s="525"/>
      <c r="E1" s="525"/>
      <c r="F1" s="525"/>
      <c r="G1" s="525"/>
      <c r="H1" s="525"/>
      <c r="I1" s="525"/>
      <c r="J1" s="525"/>
      <c r="K1" s="525"/>
    </row>
    <row r="2" spans="1:27" ht="37.5" customHeight="1" x14ac:dyDescent="0.3">
      <c r="A2" s="524"/>
      <c r="B2" s="1563" t="s">
        <v>1031</v>
      </c>
      <c r="C2" s="1564"/>
      <c r="D2" s="1564"/>
      <c r="E2" s="1564"/>
      <c r="F2" s="1564"/>
      <c r="G2" s="1564"/>
      <c r="H2" s="1564"/>
      <c r="I2" s="1564"/>
      <c r="J2" s="1564"/>
      <c r="K2" s="1565"/>
    </row>
    <row r="3" spans="1:27" ht="18" customHeight="1" x14ac:dyDescent="0.25">
      <c r="A3" s="524"/>
      <c r="B3" s="1566" t="s">
        <v>1032</v>
      </c>
      <c r="C3" s="1567"/>
      <c r="D3" s="1567"/>
      <c r="E3" s="1567"/>
      <c r="F3" s="1567"/>
      <c r="G3" s="1567"/>
      <c r="H3" s="1567"/>
      <c r="I3" s="1567"/>
      <c r="J3" s="1567"/>
      <c r="K3" s="1568"/>
    </row>
    <row r="4" spans="1:27" ht="12" customHeight="1" x14ac:dyDescent="0.25">
      <c r="A4" s="524"/>
      <c r="B4" s="1569"/>
      <c r="C4" s="1570"/>
      <c r="D4" s="1570"/>
      <c r="E4" s="1570"/>
      <c r="F4" s="1570"/>
      <c r="G4" s="1570"/>
      <c r="H4" s="1570"/>
      <c r="I4" s="1570"/>
      <c r="J4" s="1570"/>
      <c r="K4" s="1571"/>
    </row>
    <row r="5" spans="1:27" ht="18.75" x14ac:dyDescent="0.3">
      <c r="A5" s="524"/>
      <c r="B5" s="1572" t="s">
        <v>1135</v>
      </c>
      <c r="C5" s="1573"/>
      <c r="D5" s="1573"/>
      <c r="E5" s="1573"/>
      <c r="F5" s="1573"/>
      <c r="G5" s="1573"/>
      <c r="H5" s="1573"/>
      <c r="I5" s="1573"/>
      <c r="J5" s="1573"/>
      <c r="K5" s="1574"/>
    </row>
    <row r="6" spans="1:27" ht="50.25" customHeight="1" x14ac:dyDescent="0.25">
      <c r="A6" s="524"/>
      <c r="B6" s="1575" t="s">
        <v>1034</v>
      </c>
      <c r="C6" s="1576"/>
      <c r="D6" s="1577" t="s">
        <v>1035</v>
      </c>
      <c r="E6" s="1578"/>
      <c r="F6" s="1578"/>
      <c r="G6" s="1578"/>
      <c r="H6" s="1578"/>
      <c r="I6" s="1578"/>
      <c r="J6" s="1578"/>
      <c r="K6" s="1579"/>
      <c r="AA6" s="527" t="s">
        <v>1036</v>
      </c>
    </row>
    <row r="7" spans="1:27" ht="39" customHeight="1" x14ac:dyDescent="0.25">
      <c r="A7" s="524"/>
      <c r="B7" s="1585" t="s">
        <v>1037</v>
      </c>
      <c r="C7" s="1586"/>
      <c r="D7" s="1587" t="s">
        <v>1136</v>
      </c>
      <c r="E7" s="1587"/>
      <c r="F7" s="1587"/>
      <c r="G7" s="1587"/>
      <c r="H7" s="1587"/>
      <c r="I7" s="1587"/>
      <c r="J7" s="1587"/>
      <c r="K7" s="1588"/>
      <c r="AA7" s="527" t="s">
        <v>1039</v>
      </c>
    </row>
    <row r="8" spans="1:27" ht="89.25" customHeight="1" x14ac:dyDescent="0.25">
      <c r="A8" s="524"/>
      <c r="B8" s="1589" t="s">
        <v>1040</v>
      </c>
      <c r="C8" s="1590"/>
      <c r="D8" s="1591" t="s">
        <v>1137</v>
      </c>
      <c r="E8" s="1592"/>
      <c r="F8" s="1592"/>
      <c r="G8" s="1592"/>
      <c r="H8" s="1592"/>
      <c r="I8" s="1592"/>
      <c r="J8" s="1592"/>
      <c r="K8" s="1593"/>
      <c r="AA8" s="527" t="s">
        <v>1042</v>
      </c>
    </row>
    <row r="9" spans="1:27" ht="39.75" customHeight="1" x14ac:dyDescent="0.25">
      <c r="A9" s="524"/>
      <c r="B9" s="1594" t="s">
        <v>1043</v>
      </c>
      <c r="C9" s="1595"/>
      <c r="D9" s="1596" t="s">
        <v>1138</v>
      </c>
      <c r="E9" s="1597"/>
      <c r="F9" s="1597"/>
      <c r="G9" s="1597"/>
      <c r="H9" s="1597"/>
      <c r="I9" s="1597"/>
      <c r="J9" s="1597"/>
      <c r="K9" s="1598"/>
      <c r="AA9" s="527" t="s">
        <v>1045</v>
      </c>
    </row>
    <row r="10" spans="1:27" ht="39.75" customHeight="1" x14ac:dyDescent="0.25">
      <c r="A10" s="524"/>
      <c r="B10" s="1599" t="s">
        <v>1046</v>
      </c>
      <c r="C10" s="1600"/>
      <c r="D10" s="1601" t="s">
        <v>1047</v>
      </c>
      <c r="E10" s="1602"/>
      <c r="F10" s="1602"/>
      <c r="G10" s="1602"/>
      <c r="H10" s="1602"/>
      <c r="I10" s="1602"/>
      <c r="J10" s="1602"/>
      <c r="K10" s="1603"/>
      <c r="AA10" s="527" t="s">
        <v>1048</v>
      </c>
    </row>
    <row r="11" spans="1:27" ht="15" customHeight="1" x14ac:dyDescent="0.25">
      <c r="A11" s="524"/>
      <c r="B11" s="1580" t="s">
        <v>1049</v>
      </c>
      <c r="C11" s="1604"/>
      <c r="D11" s="528" t="s">
        <v>1050</v>
      </c>
      <c r="E11" s="528" t="s">
        <v>1051</v>
      </c>
      <c r="F11" s="1609"/>
      <c r="G11" s="528" t="s">
        <v>1050</v>
      </c>
      <c r="H11" s="528" t="s">
        <v>1051</v>
      </c>
      <c r="I11" s="1612"/>
      <c r="J11" s="528" t="s">
        <v>1050</v>
      </c>
      <c r="K11" s="529" t="s">
        <v>1051</v>
      </c>
      <c r="AA11" s="527" t="s">
        <v>1052</v>
      </c>
    </row>
    <row r="12" spans="1:27" ht="15" customHeight="1" x14ac:dyDescent="0.25">
      <c r="A12" s="524"/>
      <c r="B12" s="1605"/>
      <c r="C12" s="1606"/>
      <c r="D12" s="530">
        <v>2000</v>
      </c>
      <c r="E12" s="531"/>
      <c r="F12" s="1610"/>
      <c r="G12" s="530">
        <v>2006</v>
      </c>
      <c r="H12" s="531"/>
      <c r="I12" s="1613"/>
      <c r="J12" s="530">
        <v>2012</v>
      </c>
      <c r="K12" s="567"/>
      <c r="AA12" s="527" t="s">
        <v>1053</v>
      </c>
    </row>
    <row r="13" spans="1:27" x14ac:dyDescent="0.25">
      <c r="A13" s="524"/>
      <c r="B13" s="1605"/>
      <c r="C13" s="1606"/>
      <c r="D13" s="530">
        <v>2001</v>
      </c>
      <c r="E13" s="531"/>
      <c r="F13" s="1610"/>
      <c r="G13" s="530">
        <v>2007</v>
      </c>
      <c r="H13" s="531"/>
      <c r="I13" s="1613"/>
      <c r="J13" s="530">
        <v>2013</v>
      </c>
      <c r="K13" s="567"/>
      <c r="AA13" s="527" t="s">
        <v>1054</v>
      </c>
    </row>
    <row r="14" spans="1:27" x14ac:dyDescent="0.25">
      <c r="A14" s="524"/>
      <c r="B14" s="1605"/>
      <c r="C14" s="1606"/>
      <c r="D14" s="530">
        <v>2002</v>
      </c>
      <c r="E14" s="531"/>
      <c r="F14" s="1610"/>
      <c r="G14" s="530">
        <v>2008</v>
      </c>
      <c r="H14" s="531"/>
      <c r="I14" s="1613"/>
      <c r="J14" s="530">
        <v>2014</v>
      </c>
      <c r="K14" s="567"/>
      <c r="AA14" s="527" t="s">
        <v>1055</v>
      </c>
    </row>
    <row r="15" spans="1:27" x14ac:dyDescent="0.25">
      <c r="A15" s="524"/>
      <c r="B15" s="1605"/>
      <c r="C15" s="1606"/>
      <c r="D15" s="530">
        <v>2003</v>
      </c>
      <c r="E15" s="531"/>
      <c r="F15" s="1610"/>
      <c r="G15" s="530">
        <v>2009</v>
      </c>
      <c r="H15" s="531"/>
      <c r="I15" s="1613"/>
      <c r="J15" s="530">
        <v>2015</v>
      </c>
      <c r="K15" s="567"/>
      <c r="AA15" s="527" t="s">
        <v>1056</v>
      </c>
    </row>
    <row r="16" spans="1:27" x14ac:dyDescent="0.25">
      <c r="A16" s="524"/>
      <c r="B16" s="1605"/>
      <c r="C16" s="1606"/>
      <c r="D16" s="530">
        <v>2004</v>
      </c>
      <c r="E16" s="531"/>
      <c r="F16" s="1610"/>
      <c r="G16" s="530">
        <v>2010</v>
      </c>
      <c r="H16" s="531"/>
      <c r="I16" s="1613"/>
      <c r="J16" s="530">
        <v>2016</v>
      </c>
      <c r="K16" s="567">
        <v>4</v>
      </c>
      <c r="AA16" s="527" t="s">
        <v>1057</v>
      </c>
    </row>
    <row r="17" spans="1:27" x14ac:dyDescent="0.25">
      <c r="A17" s="524"/>
      <c r="B17" s="1605"/>
      <c r="C17" s="1606"/>
      <c r="D17" s="530">
        <v>2005</v>
      </c>
      <c r="E17" s="531"/>
      <c r="F17" s="1610"/>
      <c r="G17" s="530">
        <v>2011</v>
      </c>
      <c r="H17" s="531"/>
      <c r="I17" s="1613"/>
      <c r="J17" s="530">
        <v>2017</v>
      </c>
      <c r="K17" s="567">
        <v>5</v>
      </c>
      <c r="AA17" s="527" t="s">
        <v>1058</v>
      </c>
    </row>
    <row r="18" spans="1:27" x14ac:dyDescent="0.25">
      <c r="A18" s="524"/>
      <c r="B18" s="1607"/>
      <c r="C18" s="1608"/>
      <c r="D18" s="535"/>
      <c r="E18" s="536"/>
      <c r="F18" s="1611"/>
      <c r="G18" s="537"/>
      <c r="H18" s="537"/>
      <c r="I18" s="1614"/>
      <c r="J18" s="538">
        <v>2018</v>
      </c>
      <c r="K18" s="568" t="s">
        <v>1139</v>
      </c>
      <c r="AA18" s="527" t="s">
        <v>1059</v>
      </c>
    </row>
    <row r="19" spans="1:27" ht="26.25" customHeight="1" x14ac:dyDescent="0.25">
      <c r="A19" s="524"/>
      <c r="B19" s="1580" t="s">
        <v>1060</v>
      </c>
      <c r="C19" s="1581"/>
      <c r="D19" s="1615" t="s">
        <v>886</v>
      </c>
      <c r="E19" s="1616"/>
      <c r="F19" s="1616"/>
      <c r="G19" s="1616"/>
      <c r="H19" s="1616"/>
      <c r="I19" s="1616"/>
      <c r="J19" s="1616"/>
      <c r="K19" s="1617"/>
      <c r="AA19" s="526" t="s">
        <v>1061</v>
      </c>
    </row>
    <row r="20" spans="1:27" ht="352.5" customHeight="1" x14ac:dyDescent="0.25">
      <c r="A20" s="524"/>
      <c r="B20" s="1580" t="s">
        <v>1062</v>
      </c>
      <c r="C20" s="1581"/>
      <c r="D20" s="1615" t="s">
        <v>1140</v>
      </c>
      <c r="E20" s="1616"/>
      <c r="F20" s="1616"/>
      <c r="G20" s="1616"/>
      <c r="H20" s="1616"/>
      <c r="I20" s="1616"/>
      <c r="J20" s="1616"/>
      <c r="K20" s="1617"/>
      <c r="AA20" s="527" t="s">
        <v>1064</v>
      </c>
    </row>
    <row r="21" spans="1:27" ht="22.5" customHeight="1" x14ac:dyDescent="0.25">
      <c r="A21" s="524"/>
      <c r="B21" s="1580" t="s">
        <v>1065</v>
      </c>
      <c r="C21" s="1581"/>
      <c r="D21" s="540"/>
      <c r="E21" s="541"/>
      <c r="F21" s="541"/>
      <c r="G21" s="541"/>
      <c r="H21" s="541"/>
      <c r="I21" s="541"/>
      <c r="J21" s="541"/>
      <c r="K21" s="542"/>
      <c r="AA21" s="527" t="s">
        <v>1066</v>
      </c>
    </row>
    <row r="22" spans="1:27" ht="22.5" customHeight="1" x14ac:dyDescent="0.25">
      <c r="A22" s="524"/>
      <c r="B22" s="1618"/>
      <c r="C22" s="1619"/>
      <c r="D22" s="543"/>
      <c r="E22" s="544" t="s">
        <v>1112</v>
      </c>
      <c r="F22" s="545"/>
      <c r="G22" s="544"/>
      <c r="H22" s="545"/>
      <c r="I22" s="541"/>
      <c r="J22" s="545"/>
      <c r="K22" s="542"/>
      <c r="AA22" s="527" t="s">
        <v>1067</v>
      </c>
    </row>
    <row r="23" spans="1:27" ht="22.5" customHeight="1" x14ac:dyDescent="0.25">
      <c r="A23" s="524"/>
      <c r="B23" s="1620"/>
      <c r="C23" s="1621"/>
      <c r="D23" s="546"/>
      <c r="E23" s="547" t="s">
        <v>1068</v>
      </c>
      <c r="F23" s="547"/>
      <c r="G23" s="547" t="s">
        <v>1069</v>
      </c>
      <c r="H23" s="547"/>
      <c r="I23" s="547"/>
      <c r="J23" s="547"/>
      <c r="K23" s="548"/>
      <c r="AA23" s="527" t="s">
        <v>1070</v>
      </c>
    </row>
    <row r="24" spans="1:27" ht="31.5" customHeight="1" x14ac:dyDescent="0.25">
      <c r="A24" s="524"/>
      <c r="B24" s="1622" t="s">
        <v>1071</v>
      </c>
      <c r="C24" s="1623"/>
      <c r="D24" s="1623"/>
      <c r="E24" s="1623"/>
      <c r="F24" s="1623"/>
      <c r="G24" s="1623"/>
      <c r="H24" s="1623"/>
      <c r="I24" s="1623"/>
      <c r="J24" s="1623"/>
      <c r="K24" s="1624"/>
      <c r="AA24" s="527" t="s">
        <v>1072</v>
      </c>
    </row>
    <row r="25" spans="1:27" x14ac:dyDescent="0.25">
      <c r="A25" s="524"/>
      <c r="B25" s="549" t="s">
        <v>1073</v>
      </c>
      <c r="C25" s="550">
        <v>2010</v>
      </c>
      <c r="D25" s="550">
        <v>2011</v>
      </c>
      <c r="E25" s="550">
        <v>2012</v>
      </c>
      <c r="F25" s="550">
        <v>2013</v>
      </c>
      <c r="G25" s="550">
        <v>2014</v>
      </c>
      <c r="H25" s="550">
        <v>2015</v>
      </c>
      <c r="I25" s="550">
        <v>2016</v>
      </c>
      <c r="J25" s="550">
        <v>2017</v>
      </c>
      <c r="K25" s="551">
        <v>2018</v>
      </c>
      <c r="L25" s="552"/>
      <c r="M25" s="552"/>
      <c r="AA25" s="527" t="s">
        <v>1074</v>
      </c>
    </row>
    <row r="26" spans="1:27" x14ac:dyDescent="0.25">
      <c r="A26" s="524"/>
      <c r="B26" s="553" t="s">
        <v>1075</v>
      </c>
      <c r="C26" s="554"/>
      <c r="D26" s="554"/>
      <c r="E26" s="554"/>
      <c r="F26" s="554"/>
      <c r="G26" s="554"/>
      <c r="H26" s="554"/>
      <c r="I26" s="564"/>
      <c r="J26" s="564"/>
      <c r="K26" s="569">
        <v>1</v>
      </c>
      <c r="AA26" s="527" t="s">
        <v>1076</v>
      </c>
    </row>
    <row r="27" spans="1:27" ht="14.25" customHeight="1" x14ac:dyDescent="0.25">
      <c r="A27" s="524"/>
      <c r="B27" s="553" t="s">
        <v>1077</v>
      </c>
      <c r="C27" s="557"/>
      <c r="D27" s="557"/>
      <c r="E27" s="557"/>
      <c r="F27" s="557"/>
      <c r="G27" s="557"/>
      <c r="H27" s="557"/>
      <c r="I27" s="565"/>
      <c r="J27" s="565"/>
      <c r="K27" s="569"/>
      <c r="AA27" s="527" t="s">
        <v>1035</v>
      </c>
    </row>
    <row r="28" spans="1:27" x14ac:dyDescent="0.25">
      <c r="A28" s="524"/>
      <c r="B28" s="553" t="s">
        <v>1078</v>
      </c>
      <c r="C28" s="557"/>
      <c r="D28" s="557"/>
      <c r="E28" s="557"/>
      <c r="F28" s="557"/>
      <c r="G28" s="557"/>
      <c r="H28" s="557"/>
      <c r="I28" s="565"/>
      <c r="J28" s="565"/>
      <c r="K28" s="569"/>
      <c r="AA28" s="527" t="s">
        <v>1079</v>
      </c>
    </row>
    <row r="29" spans="1:27" x14ac:dyDescent="0.25">
      <c r="A29" s="524"/>
      <c r="B29" s="553" t="s">
        <v>1080</v>
      </c>
      <c r="C29" s="557"/>
      <c r="D29" s="557"/>
      <c r="E29" s="557"/>
      <c r="F29" s="557"/>
      <c r="G29" s="557"/>
      <c r="H29" s="557"/>
      <c r="I29" s="565"/>
      <c r="J29" s="565"/>
      <c r="K29" s="569"/>
      <c r="AA29" s="527" t="s">
        <v>1081</v>
      </c>
    </row>
    <row r="30" spans="1:27" x14ac:dyDescent="0.25">
      <c r="A30" s="524"/>
      <c r="B30" s="553" t="s">
        <v>1082</v>
      </c>
      <c r="C30" s="557"/>
      <c r="D30" s="557"/>
      <c r="E30" s="557"/>
      <c r="F30" s="557"/>
      <c r="G30" s="557"/>
      <c r="H30" s="557"/>
      <c r="I30" s="565">
        <v>1</v>
      </c>
      <c r="J30" s="565"/>
      <c r="K30" s="569"/>
    </row>
    <row r="31" spans="1:27" x14ac:dyDescent="0.25">
      <c r="A31" s="524"/>
      <c r="B31" s="553" t="s">
        <v>1083</v>
      </c>
      <c r="C31" s="557"/>
      <c r="D31" s="557"/>
      <c r="E31" s="557"/>
      <c r="F31" s="557"/>
      <c r="G31" s="557"/>
      <c r="H31" s="557"/>
      <c r="I31" s="565"/>
      <c r="J31" s="565"/>
      <c r="K31" s="569"/>
    </row>
    <row r="32" spans="1:27" x14ac:dyDescent="0.25">
      <c r="A32" s="524"/>
      <c r="B32" s="553" t="s">
        <v>1084</v>
      </c>
      <c r="C32" s="557"/>
      <c r="D32" s="557"/>
      <c r="E32" s="557"/>
      <c r="F32" s="557"/>
      <c r="G32" s="557"/>
      <c r="H32" s="557"/>
      <c r="I32" s="565"/>
      <c r="J32" s="565">
        <v>1</v>
      </c>
      <c r="K32" s="569"/>
    </row>
    <row r="33" spans="1:11" x14ac:dyDescent="0.25">
      <c r="A33" s="524"/>
      <c r="B33" s="553" t="s">
        <v>1085</v>
      </c>
      <c r="C33" s="557"/>
      <c r="D33" s="557"/>
      <c r="E33" s="557"/>
      <c r="F33" s="557"/>
      <c r="G33" s="557"/>
      <c r="H33" s="557"/>
      <c r="I33" s="565"/>
      <c r="J33" s="565"/>
      <c r="K33" s="569"/>
    </row>
    <row r="34" spans="1:11" x14ac:dyDescent="0.25">
      <c r="A34" s="524"/>
      <c r="B34" s="553" t="s">
        <v>1086</v>
      </c>
      <c r="C34" s="557"/>
      <c r="D34" s="557"/>
      <c r="E34" s="557"/>
      <c r="F34" s="557"/>
      <c r="G34" s="557"/>
      <c r="H34" s="557"/>
      <c r="I34" s="565"/>
      <c r="J34" s="565"/>
      <c r="K34" s="569">
        <v>1</v>
      </c>
    </row>
    <row r="35" spans="1:11" x14ac:dyDescent="0.25">
      <c r="A35" s="524"/>
      <c r="B35" s="553" t="s">
        <v>1087</v>
      </c>
      <c r="C35" s="557"/>
      <c r="D35" s="557"/>
      <c r="E35" s="557"/>
      <c r="F35" s="557"/>
      <c r="G35" s="557"/>
      <c r="H35" s="557"/>
      <c r="I35" s="565">
        <v>1</v>
      </c>
      <c r="J35" s="565"/>
      <c r="K35" s="569"/>
    </row>
    <row r="36" spans="1:11" x14ac:dyDescent="0.25">
      <c r="A36" s="524"/>
      <c r="B36" s="553" t="s">
        <v>1088</v>
      </c>
      <c r="C36" s="557"/>
      <c r="D36" s="557"/>
      <c r="E36" s="557"/>
      <c r="F36" s="557"/>
      <c r="G36" s="557"/>
      <c r="H36" s="557"/>
      <c r="I36" s="565"/>
      <c r="J36" s="565"/>
      <c r="K36" s="569"/>
    </row>
    <row r="37" spans="1:11" x14ac:dyDescent="0.25">
      <c r="A37" s="524"/>
      <c r="B37" s="553" t="s">
        <v>1089</v>
      </c>
      <c r="C37" s="557"/>
      <c r="D37" s="557"/>
      <c r="E37" s="557"/>
      <c r="F37" s="557"/>
      <c r="G37" s="557"/>
      <c r="H37" s="557"/>
      <c r="I37" s="565"/>
      <c r="J37" s="565"/>
      <c r="K37" s="569">
        <v>1</v>
      </c>
    </row>
    <row r="38" spans="1:11" x14ac:dyDescent="0.25">
      <c r="A38" s="524"/>
      <c r="B38" s="553" t="s">
        <v>1090</v>
      </c>
      <c r="C38" s="557"/>
      <c r="D38" s="557"/>
      <c r="E38" s="557"/>
      <c r="F38" s="557"/>
      <c r="G38" s="557"/>
      <c r="H38" s="557"/>
      <c r="I38" s="565"/>
      <c r="J38" s="565"/>
      <c r="K38" s="569"/>
    </row>
    <row r="39" spans="1:11" x14ac:dyDescent="0.25">
      <c r="A39" s="524"/>
      <c r="B39" s="553" t="s">
        <v>1091</v>
      </c>
      <c r="C39" s="557"/>
      <c r="D39" s="557"/>
      <c r="E39" s="557"/>
      <c r="F39" s="557"/>
      <c r="G39" s="557"/>
      <c r="H39" s="557"/>
      <c r="I39" s="565"/>
      <c r="J39" s="565"/>
      <c r="K39" s="569">
        <v>1</v>
      </c>
    </row>
    <row r="40" spans="1:11" x14ac:dyDescent="0.25">
      <c r="A40" s="524"/>
      <c r="B40" s="553" t="s">
        <v>1092</v>
      </c>
      <c r="C40" s="557"/>
      <c r="D40" s="557"/>
      <c r="E40" s="557"/>
      <c r="F40" s="557"/>
      <c r="G40" s="557"/>
      <c r="H40" s="557"/>
      <c r="I40" s="565"/>
      <c r="J40" s="565">
        <v>1</v>
      </c>
      <c r="K40" s="569"/>
    </row>
    <row r="41" spans="1:11" x14ac:dyDescent="0.25">
      <c r="A41" s="524"/>
      <c r="B41" s="553" t="s">
        <v>67</v>
      </c>
      <c r="C41" s="557"/>
      <c r="D41" s="557"/>
      <c r="E41" s="557"/>
      <c r="F41" s="557"/>
      <c r="G41" s="557"/>
      <c r="H41" s="557"/>
      <c r="I41" s="565">
        <v>1</v>
      </c>
      <c r="J41" s="565"/>
      <c r="K41" s="569"/>
    </row>
    <row r="42" spans="1:11" x14ac:dyDescent="0.25">
      <c r="A42" s="524"/>
      <c r="B42" s="553" t="s">
        <v>1093</v>
      </c>
      <c r="C42" s="557"/>
      <c r="D42" s="557"/>
      <c r="E42" s="557"/>
      <c r="F42" s="557"/>
      <c r="G42" s="557"/>
      <c r="H42" s="557"/>
      <c r="I42" s="565"/>
      <c r="J42" s="565"/>
      <c r="K42" s="569">
        <v>1</v>
      </c>
    </row>
    <row r="43" spans="1:11" x14ac:dyDescent="0.25">
      <c r="A43" s="524"/>
      <c r="B43" s="553" t="s">
        <v>1094</v>
      </c>
      <c r="C43" s="557"/>
      <c r="D43" s="557"/>
      <c r="E43" s="557"/>
      <c r="F43" s="557"/>
      <c r="G43" s="557"/>
      <c r="H43" s="557"/>
      <c r="I43" s="565"/>
      <c r="J43" s="565"/>
      <c r="K43" s="569"/>
    </row>
    <row r="44" spans="1:11" x14ac:dyDescent="0.25">
      <c r="A44" s="524"/>
      <c r="B44" s="553" t="s">
        <v>1095</v>
      </c>
      <c r="C44" s="557"/>
      <c r="D44" s="557"/>
      <c r="E44" s="557"/>
      <c r="F44" s="557"/>
      <c r="G44" s="557"/>
      <c r="H44" s="557"/>
      <c r="I44" s="565"/>
      <c r="J44" s="565"/>
      <c r="K44" s="569"/>
    </row>
    <row r="45" spans="1:11" x14ac:dyDescent="0.25">
      <c r="A45" s="524"/>
      <c r="B45" s="553" t="s">
        <v>1096</v>
      </c>
      <c r="C45" s="557"/>
      <c r="D45" s="557"/>
      <c r="E45" s="557"/>
      <c r="F45" s="557"/>
      <c r="G45" s="557"/>
      <c r="H45" s="557"/>
      <c r="I45" s="565">
        <v>1</v>
      </c>
      <c r="J45" s="565"/>
      <c r="K45" s="569"/>
    </row>
    <row r="46" spans="1:11" x14ac:dyDescent="0.25">
      <c r="A46" s="524"/>
      <c r="B46" s="553" t="s">
        <v>1097</v>
      </c>
      <c r="C46" s="557"/>
      <c r="D46" s="557"/>
      <c r="E46" s="557"/>
      <c r="F46" s="557"/>
      <c r="G46" s="557"/>
      <c r="H46" s="557"/>
      <c r="I46" s="565"/>
      <c r="J46" s="565">
        <v>1</v>
      </c>
      <c r="K46" s="569"/>
    </row>
    <row r="47" spans="1:11" x14ac:dyDescent="0.25">
      <c r="A47" s="524"/>
      <c r="B47" s="553" t="s">
        <v>1098</v>
      </c>
      <c r="C47" s="557"/>
      <c r="D47" s="557"/>
      <c r="E47" s="557"/>
      <c r="F47" s="557"/>
      <c r="G47" s="557"/>
      <c r="H47" s="557"/>
      <c r="I47" s="565"/>
      <c r="J47" s="565">
        <v>1</v>
      </c>
      <c r="K47" s="569"/>
    </row>
    <row r="48" spans="1:11" x14ac:dyDescent="0.25">
      <c r="A48" s="524"/>
      <c r="B48" s="553" t="s">
        <v>1099</v>
      </c>
      <c r="C48" s="557"/>
      <c r="D48" s="557"/>
      <c r="E48" s="557"/>
      <c r="F48" s="557"/>
      <c r="G48" s="557"/>
      <c r="H48" s="557"/>
      <c r="I48" s="565"/>
      <c r="J48" s="565"/>
      <c r="K48" s="569">
        <v>1</v>
      </c>
    </row>
    <row r="49" spans="1:11" x14ac:dyDescent="0.25">
      <c r="A49" s="524"/>
      <c r="B49" s="553" t="s">
        <v>1100</v>
      </c>
      <c r="C49" s="557"/>
      <c r="D49" s="557"/>
      <c r="E49" s="557"/>
      <c r="F49" s="557"/>
      <c r="G49" s="557"/>
      <c r="H49" s="557"/>
      <c r="I49" s="565"/>
      <c r="J49" s="565"/>
      <c r="K49" s="569"/>
    </row>
    <row r="50" spans="1:11" x14ac:dyDescent="0.25">
      <c r="A50" s="524"/>
      <c r="B50" s="553" t="s">
        <v>1101</v>
      </c>
      <c r="C50" s="557"/>
      <c r="D50" s="557"/>
      <c r="E50" s="557"/>
      <c r="F50" s="557"/>
      <c r="G50" s="557"/>
      <c r="H50" s="557"/>
      <c r="I50" s="565"/>
      <c r="J50" s="565"/>
      <c r="K50" s="558"/>
    </row>
    <row r="51" spans="1:11" x14ac:dyDescent="0.25">
      <c r="A51" s="524"/>
      <c r="B51" s="553" t="s">
        <v>1102</v>
      </c>
      <c r="C51" s="557"/>
      <c r="D51" s="557"/>
      <c r="E51" s="557"/>
      <c r="F51" s="557"/>
      <c r="G51" s="557"/>
      <c r="H51" s="557"/>
      <c r="I51" s="565"/>
      <c r="J51" s="565"/>
      <c r="K51" s="558"/>
    </row>
    <row r="52" spans="1:11" x14ac:dyDescent="0.25">
      <c r="A52" s="524"/>
      <c r="B52" s="553" t="s">
        <v>1103</v>
      </c>
      <c r="C52" s="557"/>
      <c r="D52" s="557"/>
      <c r="E52" s="557"/>
      <c r="F52" s="557"/>
      <c r="G52" s="557"/>
      <c r="H52" s="557"/>
      <c r="I52" s="565"/>
      <c r="J52" s="565">
        <v>1</v>
      </c>
      <c r="K52" s="558"/>
    </row>
    <row r="53" spans="1:11" x14ac:dyDescent="0.25">
      <c r="A53" s="524"/>
      <c r="B53" s="553" t="s">
        <v>1104</v>
      </c>
      <c r="C53" s="557"/>
      <c r="D53" s="557"/>
      <c r="E53" s="557"/>
      <c r="F53" s="557"/>
      <c r="G53" s="557"/>
      <c r="H53" s="557"/>
      <c r="I53" s="565"/>
      <c r="J53" s="565"/>
      <c r="K53" s="558"/>
    </row>
    <row r="54" spans="1:11" x14ac:dyDescent="0.25">
      <c r="A54" s="524"/>
      <c r="B54" s="553" t="s">
        <v>1105</v>
      </c>
      <c r="C54" s="557"/>
      <c r="D54" s="557"/>
      <c r="E54" s="557"/>
      <c r="F54" s="557"/>
      <c r="G54" s="557"/>
      <c r="H54" s="557"/>
      <c r="I54" s="565"/>
      <c r="J54" s="565"/>
      <c r="K54" s="558"/>
    </row>
    <row r="55" spans="1:11" x14ac:dyDescent="0.25">
      <c r="A55" s="524"/>
      <c r="B55" s="553" t="s">
        <v>1106</v>
      </c>
      <c r="C55" s="557"/>
      <c r="D55" s="557"/>
      <c r="E55" s="557"/>
      <c r="F55" s="557"/>
      <c r="G55" s="557"/>
      <c r="H55" s="557"/>
      <c r="I55" s="565"/>
      <c r="J55" s="565"/>
      <c r="K55" s="558"/>
    </row>
    <row r="56" spans="1:11" x14ac:dyDescent="0.25">
      <c r="A56" s="524"/>
      <c r="B56" s="553" t="s">
        <v>1107</v>
      </c>
      <c r="C56" s="557"/>
      <c r="D56" s="557"/>
      <c r="E56" s="557"/>
      <c r="F56" s="557"/>
      <c r="G56" s="557"/>
      <c r="H56" s="557"/>
      <c r="I56" s="565"/>
      <c r="J56" s="565"/>
      <c r="K56" s="558"/>
    </row>
    <row r="57" spans="1:11" x14ac:dyDescent="0.25">
      <c r="A57" s="524"/>
      <c r="B57" s="553" t="s">
        <v>1108</v>
      </c>
      <c r="C57" s="557"/>
      <c r="D57" s="557"/>
      <c r="E57" s="557"/>
      <c r="F57" s="557"/>
      <c r="G57" s="557"/>
      <c r="H57" s="557"/>
      <c r="I57" s="565"/>
      <c r="J57" s="565"/>
      <c r="K57" s="558"/>
    </row>
    <row r="58" spans="1:11" ht="15.75" thickBot="1" x14ac:dyDescent="0.3">
      <c r="A58" s="524"/>
      <c r="B58" s="559" t="s">
        <v>1109</v>
      </c>
      <c r="C58" s="560"/>
      <c r="D58" s="560"/>
      <c r="E58" s="560"/>
      <c r="F58" s="560"/>
      <c r="G58" s="560"/>
      <c r="H58" s="560"/>
      <c r="I58" s="566"/>
      <c r="J58" s="566"/>
      <c r="K58" s="561"/>
    </row>
    <row r="59" spans="1:11" ht="15" customHeight="1" x14ac:dyDescent="0.3">
      <c r="B59" s="1572" t="s">
        <v>1110</v>
      </c>
      <c r="C59" s="1573"/>
      <c r="D59" s="1573"/>
      <c r="E59" s="1573"/>
      <c r="F59" s="1573"/>
      <c r="G59" s="1573"/>
      <c r="H59" s="1573"/>
      <c r="I59" s="1573"/>
      <c r="J59" s="1573"/>
      <c r="K59" s="1574"/>
    </row>
    <row r="60" spans="1:11" x14ac:dyDescent="0.25">
      <c r="B60" s="1625" t="s">
        <v>1111</v>
      </c>
      <c r="C60" s="1626"/>
      <c r="D60" s="540"/>
      <c r="E60" s="541"/>
      <c r="F60" s="541"/>
      <c r="G60" s="541"/>
      <c r="H60" s="541"/>
      <c r="I60" s="541"/>
      <c r="J60" s="541"/>
      <c r="K60" s="542"/>
    </row>
    <row r="61" spans="1:11" x14ac:dyDescent="0.25">
      <c r="B61" s="1605"/>
      <c r="C61" s="1627"/>
      <c r="D61" s="543"/>
      <c r="E61" s="544" t="s">
        <v>1112</v>
      </c>
      <c r="F61" s="545"/>
      <c r="G61" s="544"/>
      <c r="H61" s="545"/>
      <c r="I61" s="541"/>
      <c r="J61" s="545"/>
      <c r="K61" s="542"/>
    </row>
    <row r="62" spans="1:11" x14ac:dyDescent="0.25">
      <c r="B62" s="1628"/>
      <c r="C62" s="1629"/>
      <c r="D62" s="546"/>
      <c r="E62" s="547" t="s">
        <v>1068</v>
      </c>
      <c r="F62" s="547"/>
      <c r="G62" s="547" t="s">
        <v>1069</v>
      </c>
      <c r="H62" s="547"/>
      <c r="I62" s="547"/>
      <c r="J62" s="547"/>
      <c r="K62" s="548"/>
    </row>
    <row r="63" spans="1:11" ht="52.5" customHeight="1" x14ac:dyDescent="0.25">
      <c r="B63" s="1575" t="s">
        <v>1113</v>
      </c>
      <c r="C63" s="1576"/>
      <c r="D63" s="1577" t="s">
        <v>1141</v>
      </c>
      <c r="E63" s="1578"/>
      <c r="F63" s="1578"/>
      <c r="G63" s="1578"/>
      <c r="H63" s="1578"/>
      <c r="I63" s="1578"/>
      <c r="J63" s="1578"/>
      <c r="K63" s="1579"/>
    </row>
    <row r="64" spans="1:11" ht="15" customHeight="1" x14ac:dyDescent="0.3">
      <c r="B64" s="1572" t="s">
        <v>1114</v>
      </c>
      <c r="C64" s="1573"/>
      <c r="D64" s="1573"/>
      <c r="E64" s="1573"/>
      <c r="F64" s="1573"/>
      <c r="G64" s="1573"/>
      <c r="H64" s="1573"/>
      <c r="I64" s="1573"/>
      <c r="J64" s="1573"/>
      <c r="K64" s="1574"/>
    </row>
    <row r="65" spans="2:11" ht="19.5" customHeight="1" x14ac:dyDescent="0.25">
      <c r="B65" s="1575" t="s">
        <v>1115</v>
      </c>
      <c r="C65" s="1576"/>
      <c r="D65" s="1577" t="s">
        <v>1142</v>
      </c>
      <c r="E65" s="1578"/>
      <c r="F65" s="1578"/>
      <c r="G65" s="1578"/>
      <c r="H65" s="1578"/>
      <c r="I65" s="1578"/>
      <c r="J65" s="1578"/>
      <c r="K65" s="1579"/>
    </row>
    <row r="66" spans="2:11" ht="19.5" customHeight="1" x14ac:dyDescent="0.25">
      <c r="B66" s="1585" t="s">
        <v>1117</v>
      </c>
      <c r="C66" s="1586"/>
      <c r="D66" s="1587" t="s">
        <v>1143</v>
      </c>
      <c r="E66" s="1587"/>
      <c r="F66" s="1587"/>
      <c r="G66" s="1587"/>
      <c r="H66" s="1587"/>
      <c r="I66" s="1587"/>
      <c r="J66" s="1587"/>
      <c r="K66" s="1588"/>
    </row>
    <row r="67" spans="2:11" ht="19.5" customHeight="1" x14ac:dyDescent="0.25">
      <c r="B67" s="1585" t="s">
        <v>1119</v>
      </c>
      <c r="C67" s="1586"/>
      <c r="D67" s="1587" t="s">
        <v>886</v>
      </c>
      <c r="E67" s="1587"/>
      <c r="F67" s="1587"/>
      <c r="G67" s="1587"/>
      <c r="H67" s="1587"/>
      <c r="I67" s="1587"/>
      <c r="J67" s="1587"/>
      <c r="K67" s="1588"/>
    </row>
    <row r="68" spans="2:11" ht="19.5" customHeight="1" x14ac:dyDescent="0.25">
      <c r="B68" s="1589" t="s">
        <v>1121</v>
      </c>
      <c r="C68" s="1630"/>
      <c r="D68" s="1631" t="s">
        <v>1122</v>
      </c>
      <c r="E68" s="1597"/>
      <c r="F68" s="1597"/>
      <c r="G68" s="1597"/>
      <c r="H68" s="1597"/>
      <c r="I68" s="1597"/>
      <c r="J68" s="1597"/>
      <c r="K68" s="1598"/>
    </row>
    <row r="69" spans="2:11" ht="19.5" customHeight="1" thickBot="1" x14ac:dyDescent="0.3">
      <c r="B69" s="1632" t="s">
        <v>1123</v>
      </c>
      <c r="C69" s="1633"/>
      <c r="D69" s="1634" t="s">
        <v>1144</v>
      </c>
      <c r="E69" s="1635"/>
      <c r="F69" s="1635"/>
      <c r="G69" s="1635"/>
      <c r="H69" s="1635"/>
      <c r="I69" s="1635"/>
      <c r="J69" s="1635"/>
      <c r="K69" s="1636"/>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r:id="rId2"/>
  <headerFooter>
    <oddFooter>&amp;CPágina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13"/>
  <sheetViews>
    <sheetView topLeftCell="J1" zoomScale="80" zoomScaleNormal="80" workbookViewId="0">
      <selection activeCell="M11" sqref="M11"/>
    </sheetView>
  </sheetViews>
  <sheetFormatPr baseColWidth="10" defaultRowHeight="12.75" x14ac:dyDescent="0.2"/>
  <cols>
    <col min="1" max="1" width="11.42578125" style="1"/>
    <col min="2" max="2" width="27.85546875" style="1" bestFit="1" customWidth="1"/>
    <col min="3" max="3" width="24.28515625" style="1" hidden="1" customWidth="1"/>
    <col min="4" max="4" width="25" style="1" hidden="1" customWidth="1"/>
    <col min="5" max="5" width="22.140625" style="1" hidden="1" customWidth="1"/>
    <col min="6" max="6" width="48.85546875" style="1" customWidth="1"/>
    <col min="7" max="7" width="16.28515625" style="1" customWidth="1"/>
    <col min="8" max="8" width="17.42578125" style="1" customWidth="1"/>
    <col min="9" max="9" width="42" style="1" customWidth="1"/>
    <col min="10" max="10" width="64" style="1" customWidth="1"/>
    <col min="11" max="12" width="51.140625" style="1" customWidth="1"/>
    <col min="13" max="13" width="11.42578125" style="1"/>
    <col min="14" max="14" width="13.85546875" style="1" hidden="1" customWidth="1"/>
    <col min="15" max="15" width="11.42578125" style="1"/>
    <col min="16" max="16" width="0" style="1" hidden="1" customWidth="1"/>
    <col min="17" max="17" width="11.42578125" style="1"/>
    <col min="18" max="18" width="0" style="1" hidden="1" customWidth="1"/>
    <col min="19" max="19" width="11.42578125" style="1"/>
    <col min="20" max="20" width="0" style="1" hidden="1" customWidth="1"/>
    <col min="21" max="21" width="13.42578125" style="1" customWidth="1"/>
    <col min="22" max="22" width="18.5703125" style="1" hidden="1" customWidth="1"/>
    <col min="23" max="16384" width="11.42578125" style="1"/>
  </cols>
  <sheetData>
    <row r="2" spans="1:22" ht="16.5" x14ac:dyDescent="0.3">
      <c r="B2" s="615"/>
      <c r="C2" s="615"/>
      <c r="D2" s="615"/>
      <c r="E2" s="615"/>
      <c r="F2" s="615"/>
      <c r="G2" s="615"/>
      <c r="H2" s="615"/>
      <c r="I2" s="615"/>
      <c r="J2" s="615"/>
      <c r="K2" s="616"/>
      <c r="L2" s="617"/>
      <c r="M2" s="1653" t="s">
        <v>1153</v>
      </c>
      <c r="N2" s="1653"/>
      <c r="O2" s="1653" t="s">
        <v>1154</v>
      </c>
      <c r="P2" s="1653"/>
      <c r="Q2" s="1653" t="s">
        <v>1155</v>
      </c>
      <c r="R2" s="1653"/>
      <c r="S2" s="1653" t="s">
        <v>833</v>
      </c>
      <c r="T2" s="1653"/>
      <c r="U2" s="1652" t="s">
        <v>1189</v>
      </c>
      <c r="V2" s="1652"/>
    </row>
    <row r="3" spans="1:22" ht="25.5" x14ac:dyDescent="0.2">
      <c r="B3" s="623" t="s">
        <v>1146</v>
      </c>
      <c r="C3" s="623" t="s">
        <v>1147</v>
      </c>
      <c r="D3" s="623" t="s">
        <v>1148</v>
      </c>
      <c r="E3" s="623" t="s">
        <v>1149</v>
      </c>
      <c r="F3" s="623" t="s">
        <v>1150</v>
      </c>
      <c r="G3" s="623" t="s">
        <v>871</v>
      </c>
      <c r="H3" s="623" t="s">
        <v>872</v>
      </c>
      <c r="I3" s="623" t="s">
        <v>1151</v>
      </c>
      <c r="J3" s="623" t="s">
        <v>1152</v>
      </c>
      <c r="K3" s="624" t="s">
        <v>1156</v>
      </c>
      <c r="L3" s="624" t="s">
        <v>1157</v>
      </c>
      <c r="M3" s="625" t="s">
        <v>1190</v>
      </c>
      <c r="N3" s="625" t="s">
        <v>1158</v>
      </c>
      <c r="O3" s="625" t="s">
        <v>1190</v>
      </c>
      <c r="P3" s="625" t="s">
        <v>1158</v>
      </c>
      <c r="Q3" s="625" t="s">
        <v>1190</v>
      </c>
      <c r="R3" s="625" t="s">
        <v>1158</v>
      </c>
      <c r="S3" s="625" t="s">
        <v>1190</v>
      </c>
      <c r="T3" s="625" t="s">
        <v>1158</v>
      </c>
      <c r="U3" s="619" t="str">
        <f>S3</f>
        <v xml:space="preserve">Cuantitativo </v>
      </c>
      <c r="V3" s="619" t="str">
        <f>T3</f>
        <v xml:space="preserve">Cualitativo </v>
      </c>
    </row>
    <row r="4" spans="1:22" x14ac:dyDescent="0.2">
      <c r="B4" s="626"/>
      <c r="C4" s="626"/>
      <c r="D4" s="626"/>
      <c r="E4" s="626"/>
      <c r="F4" s="626"/>
      <c r="G4" s="627"/>
      <c r="H4" s="627"/>
      <c r="I4" s="628">
        <v>2015</v>
      </c>
      <c r="J4" s="628">
        <v>2016</v>
      </c>
      <c r="K4" s="629" t="s">
        <v>1159</v>
      </c>
      <c r="L4" s="625"/>
      <c r="M4" s="625"/>
      <c r="N4" s="625"/>
      <c r="O4" s="625"/>
      <c r="P4" s="625"/>
      <c r="Q4" s="625"/>
      <c r="R4" s="625"/>
      <c r="S4" s="625"/>
      <c r="T4" s="625"/>
      <c r="U4" s="618"/>
      <c r="V4" s="618"/>
    </row>
    <row r="5" spans="1:22" s="620" customFormat="1" ht="129" customHeight="1" x14ac:dyDescent="0.2">
      <c r="A5" s="1651"/>
      <c r="B5" s="1645" t="s">
        <v>1160</v>
      </c>
      <c r="C5" s="1648" t="s">
        <v>1161</v>
      </c>
      <c r="D5" s="1648" t="s">
        <v>1162</v>
      </c>
      <c r="E5" s="635" t="s">
        <v>1164</v>
      </c>
      <c r="F5" s="635" t="s">
        <v>1167</v>
      </c>
      <c r="G5" s="635" t="s">
        <v>886</v>
      </c>
      <c r="H5" s="636" t="s">
        <v>1171</v>
      </c>
      <c r="I5" s="637" t="s">
        <v>1173</v>
      </c>
      <c r="J5" s="638" t="s">
        <v>1177</v>
      </c>
      <c r="K5" s="639" t="s">
        <v>1181</v>
      </c>
      <c r="L5" s="639" t="s">
        <v>1182</v>
      </c>
      <c r="M5" s="640">
        <f>'PLAN SECTORIAL '!R2</f>
        <v>0.42500000000000004</v>
      </c>
      <c r="N5" s="640"/>
      <c r="O5" s="640">
        <f>'PLAN SECTORIAL '!U2</f>
        <v>0</v>
      </c>
      <c r="P5" s="640"/>
      <c r="Q5" s="640">
        <f>'PLAN SECTORIAL '!X2</f>
        <v>0</v>
      </c>
      <c r="R5" s="640"/>
      <c r="S5" s="640">
        <f>'PLAN SECTORIAL '!AA2</f>
        <v>0</v>
      </c>
      <c r="T5" s="640"/>
      <c r="U5" s="640">
        <f>'PLAN SECTORIAL '!P2</f>
        <v>0.42500000000000004</v>
      </c>
      <c r="V5" s="621"/>
    </row>
    <row r="6" spans="1:22" s="620" customFormat="1" ht="129" customHeight="1" x14ac:dyDescent="0.25">
      <c r="A6" s="1651"/>
      <c r="B6" s="1646"/>
      <c r="C6" s="1649"/>
      <c r="D6" s="1649"/>
      <c r="E6" s="1648" t="s">
        <v>1165</v>
      </c>
      <c r="F6" s="635" t="s">
        <v>1168</v>
      </c>
      <c r="G6" s="635" t="s">
        <v>886</v>
      </c>
      <c r="H6" s="636" t="s">
        <v>1172</v>
      </c>
      <c r="I6" s="641" t="s">
        <v>1176</v>
      </c>
      <c r="J6" s="641" t="s">
        <v>1178</v>
      </c>
      <c r="K6" s="642" t="s">
        <v>1183</v>
      </c>
      <c r="L6" s="639" t="s">
        <v>1184</v>
      </c>
      <c r="M6" s="654">
        <f>'PLAN SECTORIAL '!R11</f>
        <v>0</v>
      </c>
      <c r="N6" s="654"/>
      <c r="O6" s="654">
        <f>'PLAN SECTORIAL '!U11</f>
        <v>0</v>
      </c>
      <c r="P6" s="654"/>
      <c r="Q6" s="654">
        <f>'PLAN SECTORIAL '!X11</f>
        <v>0</v>
      </c>
      <c r="R6" s="654"/>
      <c r="S6" s="655">
        <f>'PLAN SECTORIAL '!AA11</f>
        <v>0</v>
      </c>
      <c r="T6" s="654"/>
      <c r="U6" s="655">
        <f>M6+O6+Q6+S6</f>
        <v>0</v>
      </c>
      <c r="V6" s="621"/>
    </row>
    <row r="7" spans="1:22" s="620" customFormat="1" ht="129" customHeight="1" x14ac:dyDescent="0.2">
      <c r="A7" s="1651"/>
      <c r="B7" s="1646"/>
      <c r="C7" s="1649"/>
      <c r="D7" s="1650"/>
      <c r="E7" s="1650"/>
      <c r="F7" s="635" t="s">
        <v>1169</v>
      </c>
      <c r="G7" s="635" t="s">
        <v>886</v>
      </c>
      <c r="H7" s="636" t="s">
        <v>1172</v>
      </c>
      <c r="I7" s="641" t="s">
        <v>1174</v>
      </c>
      <c r="J7" s="641" t="s">
        <v>1179</v>
      </c>
      <c r="K7" s="641" t="s">
        <v>1185</v>
      </c>
      <c r="L7" s="639" t="s">
        <v>1186</v>
      </c>
      <c r="M7" s="640">
        <f>GEyP!BH25+GAESPO!BG25+GDS!BJ23</f>
        <v>0</v>
      </c>
      <c r="N7" s="640"/>
      <c r="O7" s="640">
        <f>GEyP!BH26+GAESPO!BG26+GDS!BJ24</f>
        <v>0</v>
      </c>
      <c r="P7" s="640"/>
      <c r="Q7" s="640">
        <f>GEyP!BH27+GAESPO!BG27+GDS!BJ25</f>
        <v>0</v>
      </c>
      <c r="R7" s="640"/>
      <c r="S7" s="640">
        <f>GEyP!BH28+GAESPO!BG28+GDS!BJ26</f>
        <v>0</v>
      </c>
      <c r="T7" s="640"/>
      <c r="U7" s="640">
        <f>M7+O7+Q7+S7</f>
        <v>0</v>
      </c>
      <c r="V7" s="621"/>
    </row>
    <row r="8" spans="1:22" s="620" customFormat="1" ht="129" customHeight="1" x14ac:dyDescent="0.2">
      <c r="A8" s="1651"/>
      <c r="B8" s="1647"/>
      <c r="C8" s="1650"/>
      <c r="D8" s="635" t="s">
        <v>1166</v>
      </c>
      <c r="E8" s="635" t="s">
        <v>1163</v>
      </c>
      <c r="F8" s="635" t="s">
        <v>1170</v>
      </c>
      <c r="G8" s="635" t="s">
        <v>886</v>
      </c>
      <c r="H8" s="636" t="s">
        <v>1172</v>
      </c>
      <c r="I8" s="641" t="s">
        <v>1175</v>
      </c>
      <c r="J8" s="641" t="s">
        <v>1180</v>
      </c>
      <c r="K8" s="641" t="s">
        <v>1187</v>
      </c>
      <c r="L8" s="639" t="s">
        <v>1188</v>
      </c>
      <c r="M8" s="640">
        <f>GPyE!BN34</f>
        <v>0</v>
      </c>
      <c r="N8" s="640"/>
      <c r="O8" s="640">
        <f>GPyE!BN35</f>
        <v>0</v>
      </c>
      <c r="P8" s="640"/>
      <c r="Q8" s="640">
        <f>GPyE!BN36</f>
        <v>0</v>
      </c>
      <c r="R8" s="640"/>
      <c r="S8" s="640">
        <f>GPyE!BN37</f>
        <v>0</v>
      </c>
      <c r="T8" s="640"/>
      <c r="U8" s="640">
        <f>M8+O8+Q8+S8</f>
        <v>0</v>
      </c>
      <c r="V8" s="621"/>
    </row>
    <row r="9" spans="1:22" ht="76.5" customHeight="1" x14ac:dyDescent="0.2">
      <c r="B9" s="1643" t="s">
        <v>1193</v>
      </c>
      <c r="C9" s="1641" t="s">
        <v>1194</v>
      </c>
      <c r="D9" s="1641" t="s">
        <v>1195</v>
      </c>
      <c r="E9" s="1641" t="s">
        <v>1195</v>
      </c>
      <c r="F9" s="1641" t="s">
        <v>1196</v>
      </c>
      <c r="G9" s="1639" t="s">
        <v>886</v>
      </c>
      <c r="H9" s="1641" t="s">
        <v>1172</v>
      </c>
      <c r="I9" s="1637" t="s">
        <v>1197</v>
      </c>
      <c r="J9" s="1637" t="s">
        <v>1198</v>
      </c>
      <c r="K9" s="1637" t="s">
        <v>1199</v>
      </c>
      <c r="L9" s="1637" t="s">
        <v>1200</v>
      </c>
      <c r="M9" s="644">
        <f>(GEyP!H8+GEyP!L8+GEyP!P8)+(GAESPO!H8+GAESPO!L8+GAESPO!P8)+(GDS!H9+GDS!L9+GDS!P9)</f>
        <v>0</v>
      </c>
      <c r="N9" s="644">
        <f>(GEyP!I8+GEyP!M8+GEyP!Q8)</f>
        <v>0</v>
      </c>
      <c r="O9" s="644">
        <f>(GEyP!T8+GEyP!X8+GEyP!AB8)+(GAESPO!T8+GAESPO!X8+GAESPO!AB8)+(GDS!T9+GDS!X9+GDS!AB9)</f>
        <v>0</v>
      </c>
      <c r="P9" s="644">
        <f>(GEyP!K8+GEyP!O8+GEyP!S8)</f>
        <v>0</v>
      </c>
      <c r="Q9" s="644">
        <f>(GEyP!AF8+GEyP!AJ8+GEyP!AN8)+(GAESPO!AF8+GAESPO!AJ8+GAESPO!AN8)+(GDS!AF9+GDS!AJ9+GDS!AN9)</f>
        <v>0</v>
      </c>
      <c r="R9" s="644">
        <f>(GEyP!M8+GEyP!Q8+GEyP!U8)</f>
        <v>0</v>
      </c>
      <c r="S9" s="644">
        <f>(GEyP!AR8+GEyP!AV8+GEyP!AZ8)+(GAESPO!AR8+GAESPO!AV8+GAESPO!AZ8)+(GDS!AR9+GDS!AV9+GDS!AZ9)</f>
        <v>0</v>
      </c>
      <c r="T9" s="643"/>
      <c r="U9" s="644">
        <f t="shared" ref="U9:U13" si="0">M9+O9+Q9+S9</f>
        <v>0</v>
      </c>
    </row>
    <row r="10" spans="1:22" ht="84.75" customHeight="1" x14ac:dyDescent="0.2">
      <c r="B10" s="1644"/>
      <c r="C10" s="1642"/>
      <c r="D10" s="1642"/>
      <c r="E10" s="1642"/>
      <c r="F10" s="1642"/>
      <c r="G10" s="1640"/>
      <c r="H10" s="1642"/>
      <c r="I10" s="1638"/>
      <c r="J10" s="1638"/>
      <c r="K10" s="1638"/>
      <c r="L10" s="1638"/>
      <c r="M10" s="644">
        <f>'PLAN ESTRATEGICO'!L12</f>
        <v>0</v>
      </c>
      <c r="N10" s="644"/>
      <c r="O10" s="644">
        <f>'PLAN ESTRATEGICO'!M12</f>
        <v>0</v>
      </c>
      <c r="P10" s="644"/>
      <c r="Q10" s="644">
        <f>'PLAN ESTRATEGICO'!N12</f>
        <v>0</v>
      </c>
      <c r="R10" s="644"/>
      <c r="S10" s="644">
        <f>'PLAN ESTRATEGICO'!O12</f>
        <v>0</v>
      </c>
      <c r="T10" s="643"/>
      <c r="U10" s="644">
        <f t="shared" si="0"/>
        <v>0</v>
      </c>
    </row>
    <row r="11" spans="1:22" ht="120.75" customHeight="1" x14ac:dyDescent="0.2">
      <c r="B11" s="630" t="s">
        <v>1201</v>
      </c>
      <c r="C11" s="630" t="s">
        <v>1204</v>
      </c>
      <c r="D11" s="646" t="s">
        <v>1207</v>
      </c>
      <c r="E11" s="646" t="s">
        <v>1207</v>
      </c>
      <c r="F11" s="647" t="s">
        <v>1210</v>
      </c>
      <c r="G11" s="648" t="s">
        <v>886</v>
      </c>
      <c r="H11" s="648" t="s">
        <v>1172</v>
      </c>
      <c r="I11" s="650" t="s">
        <v>1213</v>
      </c>
      <c r="J11" s="647" t="s">
        <v>1215</v>
      </c>
      <c r="K11" s="651" t="s">
        <v>1218</v>
      </c>
      <c r="L11" s="651" t="s">
        <v>1219</v>
      </c>
      <c r="M11" s="653">
        <v>0</v>
      </c>
      <c r="N11" s="653">
        <v>0</v>
      </c>
      <c r="O11" s="653">
        <v>0</v>
      </c>
      <c r="P11" s="653">
        <v>0</v>
      </c>
      <c r="Q11" s="653">
        <v>0</v>
      </c>
      <c r="R11" s="653">
        <v>0</v>
      </c>
      <c r="S11" s="653">
        <v>0</v>
      </c>
      <c r="T11" s="645"/>
      <c r="U11" s="332">
        <f t="shared" si="0"/>
        <v>0</v>
      </c>
    </row>
    <row r="12" spans="1:22" ht="121.5" customHeight="1" x14ac:dyDescent="0.2">
      <c r="B12" s="630" t="s">
        <v>1202</v>
      </c>
      <c r="C12" s="267" t="s">
        <v>1205</v>
      </c>
      <c r="D12" s="267" t="s">
        <v>1208</v>
      </c>
      <c r="E12" s="267" t="s">
        <v>1208</v>
      </c>
      <c r="F12" s="647" t="s">
        <v>1211</v>
      </c>
      <c r="G12" s="648" t="s">
        <v>886</v>
      </c>
      <c r="H12" s="648" t="s">
        <v>1172</v>
      </c>
      <c r="I12" s="650" t="s">
        <v>1214</v>
      </c>
      <c r="J12" s="622" t="s">
        <v>1216</v>
      </c>
      <c r="K12" s="651" t="s">
        <v>1220</v>
      </c>
      <c r="L12" s="652" t="s">
        <v>1221</v>
      </c>
      <c r="M12" s="653">
        <v>0</v>
      </c>
      <c r="N12" s="653">
        <v>0</v>
      </c>
      <c r="O12" s="653">
        <v>0</v>
      </c>
      <c r="P12" s="653">
        <v>0</v>
      </c>
      <c r="Q12" s="653">
        <v>0</v>
      </c>
      <c r="R12" s="653">
        <v>0</v>
      </c>
      <c r="S12" s="653">
        <v>0</v>
      </c>
      <c r="T12" s="618"/>
      <c r="U12" s="332">
        <f t="shared" si="0"/>
        <v>0</v>
      </c>
    </row>
    <row r="13" spans="1:22" ht="117" customHeight="1" x14ac:dyDescent="0.2">
      <c r="B13" s="630" t="s">
        <v>1203</v>
      </c>
      <c r="C13" s="630" t="s">
        <v>1206</v>
      </c>
      <c r="D13" s="267" t="s">
        <v>1209</v>
      </c>
      <c r="E13" s="267" t="s">
        <v>1209</v>
      </c>
      <c r="F13" s="647" t="s">
        <v>1212</v>
      </c>
      <c r="G13" s="648" t="s">
        <v>886</v>
      </c>
      <c r="H13" s="648" t="s">
        <v>1172</v>
      </c>
      <c r="I13" s="649"/>
      <c r="J13" s="647" t="s">
        <v>1217</v>
      </c>
      <c r="K13" s="651" t="s">
        <v>1222</v>
      </c>
      <c r="L13" s="651" t="s">
        <v>1223</v>
      </c>
      <c r="M13" s="653">
        <v>0</v>
      </c>
      <c r="N13" s="653">
        <v>0</v>
      </c>
      <c r="O13" s="653">
        <v>0</v>
      </c>
      <c r="P13" s="653">
        <v>0</v>
      </c>
      <c r="Q13" s="653">
        <v>0</v>
      </c>
      <c r="R13" s="653">
        <v>0</v>
      </c>
      <c r="S13" s="653">
        <v>0</v>
      </c>
      <c r="T13" s="618"/>
      <c r="U13" s="332">
        <f t="shared" si="0"/>
        <v>0</v>
      </c>
    </row>
  </sheetData>
  <mergeCells count="21">
    <mergeCell ref="U2:V2"/>
    <mergeCell ref="M2:N2"/>
    <mergeCell ref="O2:P2"/>
    <mergeCell ref="Q2:R2"/>
    <mergeCell ref="S2:T2"/>
    <mergeCell ref="B5:B8"/>
    <mergeCell ref="C5:C8"/>
    <mergeCell ref="D5:D7"/>
    <mergeCell ref="E6:E7"/>
    <mergeCell ref="A5:A8"/>
    <mergeCell ref="B9:B10"/>
    <mergeCell ref="C9:C10"/>
    <mergeCell ref="D9:D10"/>
    <mergeCell ref="E9:E10"/>
    <mergeCell ref="F9:F10"/>
    <mergeCell ref="L9:L10"/>
    <mergeCell ref="G9:G10"/>
    <mergeCell ref="H9:H10"/>
    <mergeCell ref="I9:I10"/>
    <mergeCell ref="J9:J10"/>
    <mergeCell ref="K9:K1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141"/>
  <sheetViews>
    <sheetView topLeftCell="A124" workbookViewId="0">
      <selection activeCell="G19" sqref="G19"/>
    </sheetView>
  </sheetViews>
  <sheetFormatPr baseColWidth="10" defaultRowHeight="12.75" x14ac:dyDescent="0.2"/>
  <cols>
    <col min="1" max="1" width="32.85546875" style="1" customWidth="1"/>
    <col min="2" max="2" width="27.85546875" style="1" customWidth="1"/>
    <col min="3" max="3" width="24" style="1" customWidth="1"/>
    <col min="4" max="4" width="27.7109375" style="1" customWidth="1"/>
    <col min="5" max="5" width="11.42578125" style="656"/>
    <col min="6" max="16384" width="11.42578125" style="1"/>
  </cols>
  <sheetData>
    <row r="1" spans="1:5" x14ac:dyDescent="0.2">
      <c r="A1" s="657" t="s">
        <v>1224</v>
      </c>
      <c r="B1" s="1729" t="s">
        <v>1225</v>
      </c>
      <c r="C1" s="1729"/>
      <c r="D1" s="1729"/>
    </row>
    <row r="2" spans="1:5" x14ac:dyDescent="0.2">
      <c r="A2" s="658" t="s">
        <v>1227</v>
      </c>
      <c r="B2" s="1676" t="s">
        <v>1228</v>
      </c>
      <c r="C2" s="1676"/>
      <c r="D2" s="1676"/>
    </row>
    <row r="3" spans="1:5" ht="30" customHeight="1" x14ac:dyDescent="0.2">
      <c r="A3" s="658" t="s">
        <v>1229</v>
      </c>
      <c r="B3" s="659" t="s">
        <v>1230</v>
      </c>
      <c r="C3" s="660" t="s">
        <v>1231</v>
      </c>
      <c r="D3" s="660" t="s">
        <v>1232</v>
      </c>
      <c r="E3" s="661" t="s">
        <v>1328</v>
      </c>
    </row>
    <row r="4" spans="1:5" x14ac:dyDescent="0.2">
      <c r="A4" s="1683" t="s">
        <v>1233</v>
      </c>
      <c r="B4" s="1745" t="s">
        <v>1234</v>
      </c>
      <c r="C4" s="1745" t="s">
        <v>1235</v>
      </c>
      <c r="D4" s="1746">
        <v>10</v>
      </c>
      <c r="E4" s="1654">
        <f>'PLAN ESTRATEGICO'!P6</f>
        <v>7</v>
      </c>
    </row>
    <row r="5" spans="1:5" x14ac:dyDescent="0.2">
      <c r="A5" s="1684"/>
      <c r="B5" s="1745"/>
      <c r="C5" s="1745"/>
      <c r="D5" s="1747"/>
      <c r="E5" s="1655"/>
    </row>
    <row r="6" spans="1:5" ht="6.75" customHeight="1" x14ac:dyDescent="0.2">
      <c r="A6" s="1685"/>
      <c r="B6" s="1745"/>
      <c r="C6" s="1745"/>
      <c r="D6" s="1747"/>
      <c r="E6" s="1655"/>
    </row>
    <row r="7" spans="1:5" ht="12.75" customHeight="1" x14ac:dyDescent="0.2">
      <c r="A7" s="1670" t="s">
        <v>1236</v>
      </c>
      <c r="B7" s="1671"/>
      <c r="C7" s="1671"/>
      <c r="D7" s="1672"/>
      <c r="E7" s="685"/>
    </row>
    <row r="8" spans="1:5" x14ac:dyDescent="0.2">
      <c r="A8" s="1683" t="s">
        <v>1237</v>
      </c>
      <c r="B8" s="1745" t="s">
        <v>1238</v>
      </c>
      <c r="C8" s="1753" t="s">
        <v>1235</v>
      </c>
      <c r="D8" s="1753">
        <v>255</v>
      </c>
      <c r="E8" s="1656">
        <f>GEyP!BD8+GAESPO!BD8+GDS!BD9-'PND '!U7</f>
        <v>0</v>
      </c>
    </row>
    <row r="9" spans="1:5" ht="10.5" customHeight="1" x14ac:dyDescent="0.2">
      <c r="A9" s="1684"/>
      <c r="B9" s="1745"/>
      <c r="C9" s="1753"/>
      <c r="D9" s="1753"/>
      <c r="E9" s="1656"/>
    </row>
    <row r="10" spans="1:5" x14ac:dyDescent="0.2">
      <c r="A10" s="1684"/>
      <c r="B10" s="1745" t="s">
        <v>1239</v>
      </c>
      <c r="C10" s="1745" t="s">
        <v>1235</v>
      </c>
      <c r="D10" s="1754">
        <v>255</v>
      </c>
      <c r="E10" s="1657">
        <f>GEyP!BD8+GAESPO!BD8+GDS!BD9-'PND '!U7</f>
        <v>0</v>
      </c>
    </row>
    <row r="11" spans="1:5" ht="15" hidden="1" customHeight="1" x14ac:dyDescent="0.2">
      <c r="A11" s="1684"/>
      <c r="B11" s="1745"/>
      <c r="C11" s="1745"/>
      <c r="D11" s="1754"/>
      <c r="E11" s="1657"/>
    </row>
    <row r="12" spans="1:5" ht="6" customHeight="1" x14ac:dyDescent="0.2">
      <c r="A12" s="1685"/>
      <c r="B12" s="1745"/>
      <c r="C12" s="1745"/>
      <c r="D12" s="1754"/>
      <c r="E12" s="1657"/>
    </row>
    <row r="13" spans="1:5" x14ac:dyDescent="0.2">
      <c r="A13" s="1670" t="s">
        <v>1240</v>
      </c>
      <c r="B13" s="1671"/>
      <c r="C13" s="1671"/>
      <c r="D13" s="1672"/>
      <c r="E13" s="685"/>
    </row>
    <row r="14" spans="1:5" x14ac:dyDescent="0.2">
      <c r="A14" s="1683" t="s">
        <v>1241</v>
      </c>
      <c r="B14" s="1745" t="s">
        <v>1242</v>
      </c>
      <c r="C14" s="1745" t="s">
        <v>1235</v>
      </c>
      <c r="D14" s="1746">
        <v>154</v>
      </c>
      <c r="E14" s="1658">
        <v>0</v>
      </c>
    </row>
    <row r="15" spans="1:5" ht="9" customHeight="1" x14ac:dyDescent="0.2">
      <c r="A15" s="1684"/>
      <c r="B15" s="1745"/>
      <c r="C15" s="1745"/>
      <c r="D15" s="1747"/>
      <c r="E15" s="1658"/>
    </row>
    <row r="16" spans="1:5" ht="8.25" customHeight="1" x14ac:dyDescent="0.2">
      <c r="A16" s="1685"/>
      <c r="B16" s="1745"/>
      <c r="C16" s="1745"/>
      <c r="D16" s="1747"/>
      <c r="E16" s="1658"/>
    </row>
    <row r="17" spans="1:5" x14ac:dyDescent="0.2">
      <c r="A17" s="656"/>
      <c r="B17" s="656"/>
      <c r="C17" s="656"/>
      <c r="D17" s="656"/>
    </row>
    <row r="18" spans="1:5" ht="24" customHeight="1" x14ac:dyDescent="0.2">
      <c r="A18" s="661" t="s">
        <v>1224</v>
      </c>
      <c r="B18" s="1673" t="s">
        <v>1245</v>
      </c>
      <c r="C18" s="1674"/>
      <c r="D18" s="1675"/>
    </row>
    <row r="19" spans="1:5" ht="37.5" customHeight="1" x14ac:dyDescent="0.2">
      <c r="A19" s="661" t="s">
        <v>1227</v>
      </c>
      <c r="B19" s="1676" t="s">
        <v>1246</v>
      </c>
      <c r="C19" s="1676"/>
      <c r="D19" s="1676"/>
    </row>
    <row r="20" spans="1:5" ht="22.5" x14ac:dyDescent="0.2">
      <c r="A20" s="662" t="s">
        <v>1247</v>
      </c>
      <c r="B20" s="663" t="s">
        <v>1248</v>
      </c>
      <c r="C20" s="663" t="s">
        <v>1231</v>
      </c>
      <c r="D20" s="663" t="s">
        <v>1232</v>
      </c>
      <c r="E20" s="661" t="s">
        <v>1328</v>
      </c>
    </row>
    <row r="21" spans="1:5" x14ac:dyDescent="0.2">
      <c r="A21" s="1677" t="s">
        <v>1249</v>
      </c>
      <c r="B21" s="1679" t="s">
        <v>1250</v>
      </c>
      <c r="C21" s="1680" t="s">
        <v>1235</v>
      </c>
      <c r="D21" s="1682">
        <v>41</v>
      </c>
      <c r="E21" s="1659">
        <f>'PND '!U7</f>
        <v>0</v>
      </c>
    </row>
    <row r="22" spans="1:5" x14ac:dyDescent="0.2">
      <c r="A22" s="1678"/>
      <c r="B22" s="1679"/>
      <c r="C22" s="1681"/>
      <c r="D22" s="1682"/>
      <c r="E22" s="1659"/>
    </row>
    <row r="23" spans="1:5" x14ac:dyDescent="0.2">
      <c r="A23" s="1667" t="s">
        <v>1236</v>
      </c>
      <c r="B23" s="1668"/>
      <c r="C23" s="1668"/>
      <c r="D23" s="1669"/>
      <c r="E23" s="685"/>
    </row>
    <row r="24" spans="1:5" x14ac:dyDescent="0.2">
      <c r="A24" s="1677" t="s">
        <v>1251</v>
      </c>
      <c r="B24" s="1679" t="s">
        <v>1252</v>
      </c>
      <c r="C24" s="1682" t="s">
        <v>1235</v>
      </c>
      <c r="D24" s="1682">
        <v>13</v>
      </c>
      <c r="E24" s="1659">
        <f>'PLAN ESTRATEGICO'!P15</f>
        <v>2</v>
      </c>
    </row>
    <row r="25" spans="1:5" ht="10.5" customHeight="1" x14ac:dyDescent="0.2">
      <c r="A25" s="1678"/>
      <c r="B25" s="1679"/>
      <c r="C25" s="1682"/>
      <c r="D25" s="1748"/>
      <c r="E25" s="1659"/>
    </row>
    <row r="26" spans="1:5" x14ac:dyDescent="0.2">
      <c r="A26" s="656"/>
      <c r="B26" s="656"/>
      <c r="C26" s="656"/>
      <c r="D26" s="656"/>
    </row>
    <row r="27" spans="1:5" ht="15" customHeight="1" x14ac:dyDescent="0.2">
      <c r="A27" s="682" t="s">
        <v>1224</v>
      </c>
      <c r="B27" s="1756" t="s">
        <v>1313</v>
      </c>
      <c r="C27" s="1756"/>
      <c r="D27" s="1756"/>
    </row>
    <row r="28" spans="1:5" ht="15" x14ac:dyDescent="0.2">
      <c r="A28" s="682" t="s">
        <v>1226</v>
      </c>
      <c r="B28" s="1739" t="s">
        <v>1314</v>
      </c>
      <c r="C28" s="1739"/>
      <c r="D28" s="1739"/>
    </row>
    <row r="29" spans="1:5" ht="15" customHeight="1" x14ac:dyDescent="0.2">
      <c r="A29" s="682" t="s">
        <v>1227</v>
      </c>
      <c r="B29" s="1739" t="s">
        <v>1315</v>
      </c>
      <c r="C29" s="1739"/>
      <c r="D29" s="1739"/>
    </row>
    <row r="30" spans="1:5" ht="30" x14ac:dyDescent="0.2">
      <c r="A30" s="682" t="s">
        <v>1229</v>
      </c>
      <c r="B30" s="677" t="s">
        <v>1230</v>
      </c>
      <c r="C30" s="677" t="s">
        <v>1326</v>
      </c>
      <c r="D30" s="677" t="s">
        <v>1232</v>
      </c>
      <c r="E30" s="661" t="s">
        <v>1328</v>
      </c>
    </row>
    <row r="31" spans="1:5" ht="12.75" customHeight="1" x14ac:dyDescent="0.2">
      <c r="A31" s="1740" t="s">
        <v>1316</v>
      </c>
      <c r="B31" s="1661" t="s">
        <v>1317</v>
      </c>
      <c r="C31" s="1662" t="s">
        <v>1327</v>
      </c>
      <c r="D31" s="1688">
        <v>1</v>
      </c>
      <c r="E31" s="1665">
        <v>0</v>
      </c>
    </row>
    <row r="32" spans="1:5" ht="12.75" customHeight="1" x14ac:dyDescent="0.2">
      <c r="A32" s="1740"/>
      <c r="B32" s="1661"/>
      <c r="C32" s="1663"/>
      <c r="D32" s="1688"/>
      <c r="E32" s="1665"/>
    </row>
    <row r="33" spans="1:5" ht="12.75" customHeight="1" x14ac:dyDescent="0.2">
      <c r="A33" s="1740"/>
      <c r="B33" s="1736" t="s">
        <v>1318</v>
      </c>
      <c r="C33" s="1662" t="s">
        <v>1327</v>
      </c>
      <c r="D33" s="1741">
        <v>20</v>
      </c>
      <c r="E33" s="1666">
        <f>E24</f>
        <v>2</v>
      </c>
    </row>
    <row r="34" spans="1:5" ht="12.75" customHeight="1" x14ac:dyDescent="0.2">
      <c r="A34" s="1740"/>
      <c r="B34" s="1737"/>
      <c r="C34" s="1663"/>
      <c r="D34" s="1742"/>
      <c r="E34" s="1666"/>
    </row>
    <row r="35" spans="1:5" ht="15" x14ac:dyDescent="0.2">
      <c r="A35" s="1750" t="s">
        <v>1236</v>
      </c>
      <c r="B35" s="1751"/>
      <c r="C35" s="684"/>
      <c r="D35" s="683"/>
      <c r="E35" s="685"/>
    </row>
    <row r="36" spans="1:5" ht="12.75" customHeight="1" x14ac:dyDescent="0.2">
      <c r="A36" s="1752" t="s">
        <v>1319</v>
      </c>
      <c r="B36" s="1752" t="s">
        <v>1320</v>
      </c>
      <c r="C36" s="1736" t="s">
        <v>1327</v>
      </c>
      <c r="D36" s="1688">
        <v>255</v>
      </c>
      <c r="E36" s="1666">
        <f>E8</f>
        <v>0</v>
      </c>
    </row>
    <row r="37" spans="1:5" ht="12.75" customHeight="1" x14ac:dyDescent="0.2">
      <c r="A37" s="1752"/>
      <c r="B37" s="1752"/>
      <c r="C37" s="1738"/>
      <c r="D37" s="1688"/>
      <c r="E37" s="1666"/>
    </row>
    <row r="38" spans="1:5" ht="12.75" customHeight="1" x14ac:dyDescent="0.2">
      <c r="A38" s="1752"/>
      <c r="B38" s="1662" t="s">
        <v>1321</v>
      </c>
      <c r="C38" s="1736" t="s">
        <v>1327</v>
      </c>
      <c r="D38" s="1735">
        <v>3</v>
      </c>
      <c r="E38" s="1664">
        <v>0</v>
      </c>
    </row>
    <row r="39" spans="1:5" ht="12.75" customHeight="1" x14ac:dyDescent="0.2">
      <c r="A39" s="1752"/>
      <c r="B39" s="1663"/>
      <c r="C39" s="1738"/>
      <c r="D39" s="1735"/>
      <c r="E39" s="1664"/>
    </row>
    <row r="40" spans="1:5" ht="12.75" customHeight="1" x14ac:dyDescent="0.2">
      <c r="A40" s="1752"/>
      <c r="B40" s="1661" t="s">
        <v>1322</v>
      </c>
      <c r="C40" s="1662" t="s">
        <v>1327</v>
      </c>
      <c r="D40" s="1735">
        <v>3</v>
      </c>
      <c r="E40" s="1664">
        <v>0</v>
      </c>
    </row>
    <row r="41" spans="1:5" ht="12.75" customHeight="1" x14ac:dyDescent="0.2">
      <c r="A41" s="1752"/>
      <c r="B41" s="1661"/>
      <c r="C41" s="1663"/>
      <c r="D41" s="1735"/>
      <c r="E41" s="1664"/>
    </row>
    <row r="42" spans="1:5" ht="15" x14ac:dyDescent="0.2">
      <c r="A42" s="1690" t="s">
        <v>1240</v>
      </c>
      <c r="B42" s="1691"/>
      <c r="C42" s="681"/>
      <c r="D42" s="683"/>
      <c r="E42" s="685"/>
    </row>
    <row r="43" spans="1:5" ht="12.75" customHeight="1" x14ac:dyDescent="0.2">
      <c r="A43" s="1736" t="s">
        <v>1323</v>
      </c>
      <c r="B43" s="1735" t="s">
        <v>1324</v>
      </c>
      <c r="C43" s="1743" t="s">
        <v>1327</v>
      </c>
      <c r="D43" s="1735">
        <v>255</v>
      </c>
      <c r="E43" s="1660">
        <f>E10</f>
        <v>0</v>
      </c>
    </row>
    <row r="44" spans="1:5" ht="12.75" customHeight="1" x14ac:dyDescent="0.2">
      <c r="A44" s="1737"/>
      <c r="B44" s="1735"/>
      <c r="C44" s="1744"/>
      <c r="D44" s="1735"/>
      <c r="E44" s="1660"/>
    </row>
    <row r="45" spans="1:5" ht="12.75" customHeight="1" x14ac:dyDescent="0.2">
      <c r="A45" s="1737"/>
      <c r="B45" s="1743" t="s">
        <v>1325</v>
      </c>
      <c r="C45" s="1743" t="s">
        <v>1327</v>
      </c>
      <c r="D45" s="1735">
        <v>20</v>
      </c>
      <c r="E45" s="1664">
        <v>0</v>
      </c>
    </row>
    <row r="46" spans="1:5" ht="12.75" customHeight="1" x14ac:dyDescent="0.2">
      <c r="A46" s="1738"/>
      <c r="B46" s="1744"/>
      <c r="C46" s="1744"/>
      <c r="D46" s="1735"/>
      <c r="E46" s="1664"/>
    </row>
    <row r="47" spans="1:5" ht="15" x14ac:dyDescent="0.2">
      <c r="A47" s="1690" t="s">
        <v>1243</v>
      </c>
      <c r="B47" s="1691"/>
      <c r="C47" s="681"/>
      <c r="D47" s="683"/>
      <c r="E47" s="685"/>
    </row>
    <row r="48" spans="1:5" x14ac:dyDescent="0.2">
      <c r="A48" s="656"/>
      <c r="B48" s="656"/>
      <c r="C48" s="656"/>
      <c r="D48" s="656"/>
    </row>
    <row r="49" spans="1:5" x14ac:dyDescent="0.2">
      <c r="A49" s="656"/>
      <c r="B49" s="656"/>
      <c r="C49" s="656"/>
      <c r="D49" s="656"/>
    </row>
    <row r="50" spans="1:5" ht="25.5" customHeight="1" x14ac:dyDescent="0.2">
      <c r="A50" s="664" t="s">
        <v>1224</v>
      </c>
      <c r="B50" s="1729" t="s">
        <v>1253</v>
      </c>
      <c r="C50" s="1729"/>
      <c r="D50" s="1729"/>
    </row>
    <row r="51" spans="1:5" x14ac:dyDescent="0.2">
      <c r="A51" s="664" t="s">
        <v>1226</v>
      </c>
      <c r="B51" s="1749" t="s">
        <v>1254</v>
      </c>
      <c r="C51" s="1749"/>
      <c r="D51" s="1749"/>
    </row>
    <row r="52" spans="1:5" ht="23.25" customHeight="1" x14ac:dyDescent="0.2">
      <c r="A52" s="665" t="s">
        <v>1227</v>
      </c>
      <c r="B52" s="1676" t="s">
        <v>1255</v>
      </c>
      <c r="C52" s="1676"/>
      <c r="D52" s="1676"/>
    </row>
    <row r="53" spans="1:5" ht="22.5" x14ac:dyDescent="0.2">
      <c r="A53" s="666" t="s">
        <v>1256</v>
      </c>
      <c r="B53" s="659" t="s">
        <v>1257</v>
      </c>
      <c r="C53" s="659" t="s">
        <v>1231</v>
      </c>
      <c r="D53" s="659" t="s">
        <v>1258</v>
      </c>
      <c r="E53" s="659" t="s">
        <v>1328</v>
      </c>
    </row>
    <row r="54" spans="1:5" ht="22.5" x14ac:dyDescent="0.2">
      <c r="A54" s="1730" t="s">
        <v>1288</v>
      </c>
      <c r="B54" s="667" t="s">
        <v>1259</v>
      </c>
      <c r="C54" s="667" t="s">
        <v>1260</v>
      </c>
      <c r="D54" s="668">
        <v>1</v>
      </c>
      <c r="E54" s="686">
        <f>GGA!BD18</f>
        <v>0.24990000000000001</v>
      </c>
    </row>
    <row r="55" spans="1:5" x14ac:dyDescent="0.2">
      <c r="A55" s="1731"/>
      <c r="B55" s="1719" t="s">
        <v>1261</v>
      </c>
      <c r="C55" s="1719" t="s">
        <v>1262</v>
      </c>
      <c r="D55" s="1720">
        <v>200</v>
      </c>
      <c r="E55" s="1720">
        <f>GGA!BD21</f>
        <v>43.32</v>
      </c>
    </row>
    <row r="56" spans="1:5" ht="3" customHeight="1" x14ac:dyDescent="0.2">
      <c r="A56" s="1731"/>
      <c r="B56" s="1719"/>
      <c r="C56" s="1719"/>
      <c r="D56" s="1720"/>
      <c r="E56" s="1720"/>
    </row>
    <row r="57" spans="1:5" x14ac:dyDescent="0.2">
      <c r="A57" s="1731"/>
      <c r="B57" s="1719" t="s">
        <v>1263</v>
      </c>
      <c r="C57" s="1720" t="s">
        <v>1264</v>
      </c>
      <c r="D57" s="1720">
        <v>50</v>
      </c>
      <c r="E57" s="1720">
        <f>GGA!BD22</f>
        <v>0</v>
      </c>
    </row>
    <row r="58" spans="1:5" x14ac:dyDescent="0.2">
      <c r="A58" s="1732"/>
      <c r="B58" s="1719"/>
      <c r="C58" s="1720"/>
      <c r="D58" s="1720"/>
      <c r="E58" s="1720"/>
    </row>
    <row r="59" spans="1:5" x14ac:dyDescent="0.2">
      <c r="A59" s="669"/>
      <c r="B59" s="669"/>
      <c r="C59" s="670"/>
      <c r="D59" s="671"/>
      <c r="E59" s="671"/>
    </row>
    <row r="60" spans="1:5" x14ac:dyDescent="0.2">
      <c r="A60" s="1730" t="s">
        <v>1265</v>
      </c>
      <c r="B60" s="1734" t="s">
        <v>1266</v>
      </c>
      <c r="C60" s="1734" t="s">
        <v>1260</v>
      </c>
      <c r="D60" s="1720">
        <v>10</v>
      </c>
      <c r="E60" s="1720">
        <f>GGA!BD17</f>
        <v>0</v>
      </c>
    </row>
    <row r="61" spans="1:5" x14ac:dyDescent="0.2">
      <c r="A61" s="1732"/>
      <c r="B61" s="1734"/>
      <c r="C61" s="1734"/>
      <c r="D61" s="1720"/>
      <c r="E61" s="1720"/>
    </row>
    <row r="62" spans="1:5" x14ac:dyDescent="0.2">
      <c r="A62" s="1716" t="s">
        <v>1240</v>
      </c>
      <c r="B62" s="1716"/>
      <c r="C62" s="1716"/>
      <c r="D62" s="672"/>
      <c r="E62" s="672"/>
    </row>
    <row r="63" spans="1:5" x14ac:dyDescent="0.2">
      <c r="A63" s="1755" t="s">
        <v>1244</v>
      </c>
      <c r="B63" s="1755"/>
      <c r="C63" s="1755"/>
      <c r="D63" s="673"/>
      <c r="E63" s="673"/>
    </row>
    <row r="64" spans="1:5" x14ac:dyDescent="0.2">
      <c r="A64" s="656"/>
      <c r="B64" s="656"/>
      <c r="C64" s="656"/>
      <c r="D64" s="656"/>
    </row>
    <row r="65" spans="1:5" ht="20.25" customHeight="1" x14ac:dyDescent="0.2">
      <c r="A65" s="664" t="s">
        <v>1224</v>
      </c>
      <c r="B65" s="1729" t="s">
        <v>1267</v>
      </c>
      <c r="C65" s="1729"/>
      <c r="D65" s="1729"/>
    </row>
    <row r="66" spans="1:5" x14ac:dyDescent="0.2">
      <c r="A66" s="664" t="s">
        <v>1226</v>
      </c>
      <c r="B66" s="1676" t="s">
        <v>1268</v>
      </c>
      <c r="C66" s="1676"/>
      <c r="D66" s="1676"/>
    </row>
    <row r="67" spans="1:5" ht="28.5" customHeight="1" x14ac:dyDescent="0.2">
      <c r="A67" s="664" t="s">
        <v>1227</v>
      </c>
      <c r="B67" s="1676" t="s">
        <v>1269</v>
      </c>
      <c r="C67" s="1676"/>
      <c r="D67" s="1676"/>
    </row>
    <row r="68" spans="1:5" ht="22.5" x14ac:dyDescent="0.2">
      <c r="A68" s="664" t="s">
        <v>1256</v>
      </c>
      <c r="B68" s="657" t="s">
        <v>1257</v>
      </c>
      <c r="C68" s="657" t="s">
        <v>1231</v>
      </c>
      <c r="D68" s="659" t="s">
        <v>1232</v>
      </c>
      <c r="E68" s="659" t="s">
        <v>1328</v>
      </c>
    </row>
    <row r="69" spans="1:5" x14ac:dyDescent="0.2">
      <c r="A69" s="1730" t="s">
        <v>1270</v>
      </c>
      <c r="B69" s="1679" t="s">
        <v>1271</v>
      </c>
      <c r="C69" s="1720" t="s">
        <v>1272</v>
      </c>
      <c r="D69" s="1733">
        <v>0.25</v>
      </c>
      <c r="E69" s="1733">
        <f>GGA!BD16/4</f>
        <v>0</v>
      </c>
    </row>
    <row r="70" spans="1:5" x14ac:dyDescent="0.2">
      <c r="A70" s="1731"/>
      <c r="B70" s="1679"/>
      <c r="C70" s="1720"/>
      <c r="D70" s="1720"/>
      <c r="E70" s="1720"/>
    </row>
    <row r="71" spans="1:5" x14ac:dyDescent="0.2">
      <c r="A71" s="1731"/>
      <c r="B71" s="1679"/>
      <c r="C71" s="1720"/>
      <c r="D71" s="1720"/>
      <c r="E71" s="1720"/>
    </row>
    <row r="72" spans="1:5" x14ac:dyDescent="0.2">
      <c r="A72" s="1731"/>
      <c r="B72" s="1679" t="s">
        <v>1273</v>
      </c>
      <c r="C72" s="1679" t="s">
        <v>1047</v>
      </c>
      <c r="D72" s="1720">
        <v>55</v>
      </c>
      <c r="E72" s="1759">
        <v>0</v>
      </c>
    </row>
    <row r="73" spans="1:5" x14ac:dyDescent="0.2">
      <c r="A73" s="1732"/>
      <c r="B73" s="1679"/>
      <c r="C73" s="1679"/>
      <c r="D73" s="1720"/>
      <c r="E73" s="1759"/>
    </row>
    <row r="74" spans="1:5" x14ac:dyDescent="0.2">
      <c r="A74" s="1716" t="s">
        <v>1236</v>
      </c>
      <c r="B74" s="1716"/>
      <c r="C74" s="1716"/>
      <c r="D74" s="674"/>
      <c r="E74" s="674"/>
    </row>
    <row r="75" spans="1:5" x14ac:dyDescent="0.2">
      <c r="A75" s="1717" t="s">
        <v>1274</v>
      </c>
      <c r="B75" s="1719" t="s">
        <v>1273</v>
      </c>
      <c r="C75" s="1719" t="s">
        <v>1047</v>
      </c>
      <c r="D75" s="1720">
        <v>0</v>
      </c>
      <c r="E75" s="1759">
        <v>0</v>
      </c>
    </row>
    <row r="76" spans="1:5" ht="21" customHeight="1" x14ac:dyDescent="0.2">
      <c r="A76" s="1718"/>
      <c r="B76" s="1719"/>
      <c r="C76" s="1719"/>
      <c r="D76" s="1720"/>
      <c r="E76" s="1759"/>
    </row>
    <row r="77" spans="1:5" x14ac:dyDescent="0.2">
      <c r="A77" s="1721" t="s">
        <v>1244</v>
      </c>
      <c r="B77" s="1721"/>
      <c r="C77" s="1721"/>
      <c r="D77" s="675"/>
    </row>
    <row r="79" spans="1:5" s="72" customFormat="1" ht="30.75" customHeight="1" x14ac:dyDescent="0.2">
      <c r="A79" s="687" t="s">
        <v>1224</v>
      </c>
      <c r="B79" s="1712" t="s">
        <v>1275</v>
      </c>
      <c r="C79" s="1712"/>
      <c r="D79" s="1712"/>
      <c r="E79" s="656"/>
    </row>
    <row r="80" spans="1:5" s="72" customFormat="1" x14ac:dyDescent="0.2">
      <c r="A80" s="687" t="s">
        <v>1226</v>
      </c>
      <c r="B80" s="1713">
        <v>2017011000098</v>
      </c>
      <c r="C80" s="1713"/>
      <c r="D80" s="1713"/>
      <c r="E80" s="656"/>
    </row>
    <row r="81" spans="1:5" s="72" customFormat="1" ht="24" customHeight="1" x14ac:dyDescent="0.2">
      <c r="A81" s="688" t="s">
        <v>1227</v>
      </c>
      <c r="B81" s="1711" t="s">
        <v>1276</v>
      </c>
      <c r="C81" s="1711"/>
      <c r="D81" s="1711"/>
      <c r="E81" s="656"/>
    </row>
    <row r="82" spans="1:5" s="72" customFormat="1" x14ac:dyDescent="0.2">
      <c r="A82" s="1726" t="s">
        <v>1247</v>
      </c>
      <c r="B82" s="1722" t="s">
        <v>1277</v>
      </c>
      <c r="C82" s="1723"/>
      <c r="D82" s="689" t="s">
        <v>1278</v>
      </c>
      <c r="E82" s="689" t="s">
        <v>1328</v>
      </c>
    </row>
    <row r="83" spans="1:5" s="72" customFormat="1" x14ac:dyDescent="0.2">
      <c r="A83" s="1727"/>
      <c r="B83" s="690" t="s">
        <v>1257</v>
      </c>
      <c r="C83" s="690" t="s">
        <v>1231</v>
      </c>
      <c r="D83" s="690">
        <v>2018</v>
      </c>
      <c r="E83" s="690"/>
    </row>
    <row r="84" spans="1:5" s="72" customFormat="1" ht="12.75" customHeight="1" x14ac:dyDescent="0.2">
      <c r="A84" s="1708" t="s">
        <v>1279</v>
      </c>
      <c r="B84" s="1724" t="s">
        <v>1280</v>
      </c>
      <c r="C84" s="1724" t="s">
        <v>1235</v>
      </c>
      <c r="D84" s="1724">
        <v>2</v>
      </c>
      <c r="E84" s="1724">
        <f>GCyP!BD18</f>
        <v>0</v>
      </c>
    </row>
    <row r="85" spans="1:5" s="72" customFormat="1" x14ac:dyDescent="0.2">
      <c r="A85" s="1709"/>
      <c r="B85" s="1725"/>
      <c r="C85" s="1725"/>
      <c r="D85" s="1725"/>
      <c r="E85" s="1725"/>
    </row>
    <row r="86" spans="1:5" s="72" customFormat="1" x14ac:dyDescent="0.2">
      <c r="A86" s="1709"/>
      <c r="B86" s="1728"/>
      <c r="C86" s="1728"/>
      <c r="D86" s="1728"/>
      <c r="E86" s="1728"/>
    </row>
    <row r="87" spans="1:5" s="72" customFormat="1" ht="12.75" customHeight="1" x14ac:dyDescent="0.2">
      <c r="A87" s="1709"/>
      <c r="B87" s="1724" t="s">
        <v>1281</v>
      </c>
      <c r="C87" s="1724" t="s">
        <v>1235</v>
      </c>
      <c r="D87" s="1724">
        <v>4</v>
      </c>
      <c r="E87" s="1724">
        <f>GCyP!BD17</f>
        <v>0</v>
      </c>
    </row>
    <row r="88" spans="1:5" s="72" customFormat="1" ht="25.5" customHeight="1" x14ac:dyDescent="0.2">
      <c r="A88" s="1710"/>
      <c r="B88" s="1725"/>
      <c r="C88" s="1725"/>
      <c r="D88" s="1725"/>
      <c r="E88" s="1725"/>
    </row>
    <row r="89" spans="1:5" s="72" customFormat="1" x14ac:dyDescent="0.2">
      <c r="A89" s="1715" t="s">
        <v>1282</v>
      </c>
      <c r="B89" s="1722" t="s">
        <v>1277</v>
      </c>
      <c r="C89" s="1723"/>
      <c r="D89" s="689" t="s">
        <v>1283</v>
      </c>
      <c r="E89" s="689"/>
    </row>
    <row r="90" spans="1:5" s="72" customFormat="1" x14ac:dyDescent="0.2">
      <c r="A90" s="1715"/>
      <c r="B90" s="690" t="s">
        <v>1257</v>
      </c>
      <c r="C90" s="690" t="s">
        <v>1231</v>
      </c>
      <c r="D90" s="690">
        <v>2018</v>
      </c>
      <c r="E90" s="690"/>
    </row>
    <row r="91" spans="1:5" s="72" customFormat="1" ht="12.75" customHeight="1" x14ac:dyDescent="0.2">
      <c r="A91" s="1708" t="s">
        <v>1284</v>
      </c>
      <c r="B91" s="1704" t="s">
        <v>1285</v>
      </c>
      <c r="C91" s="1704" t="s">
        <v>1235</v>
      </c>
      <c r="D91" s="1704">
        <v>1</v>
      </c>
      <c r="E91" s="1760">
        <f>'PLAN ESTRATEGICO'!P9</f>
        <v>0.23091916548039979</v>
      </c>
    </row>
    <row r="92" spans="1:5" s="72" customFormat="1" x14ac:dyDescent="0.2">
      <c r="A92" s="1709"/>
      <c r="B92" s="1704"/>
      <c r="C92" s="1704"/>
      <c r="D92" s="1704"/>
      <c r="E92" s="1704"/>
    </row>
    <row r="93" spans="1:5" s="72" customFormat="1" x14ac:dyDescent="0.2">
      <c r="A93" s="1709"/>
      <c r="B93" s="1704"/>
      <c r="C93" s="1704"/>
      <c r="D93" s="1704"/>
      <c r="E93" s="1704"/>
    </row>
    <row r="94" spans="1:5" s="72" customFormat="1" ht="12.75" customHeight="1" x14ac:dyDescent="0.2">
      <c r="A94" s="1709"/>
      <c r="B94" s="1704" t="s">
        <v>1286</v>
      </c>
      <c r="C94" s="1704" t="s">
        <v>1235</v>
      </c>
      <c r="D94" s="1704">
        <v>42</v>
      </c>
      <c r="E94" s="1704">
        <f>GCyP!BD15</f>
        <v>14</v>
      </c>
    </row>
    <row r="95" spans="1:5" s="72" customFormat="1" x14ac:dyDescent="0.2">
      <c r="A95" s="1709"/>
      <c r="B95" s="1704"/>
      <c r="C95" s="1704"/>
      <c r="D95" s="1704"/>
      <c r="E95" s="1704"/>
    </row>
    <row r="96" spans="1:5" s="72" customFormat="1" x14ac:dyDescent="0.2">
      <c r="A96" s="1709"/>
      <c r="B96" s="1704"/>
      <c r="C96" s="1704"/>
      <c r="D96" s="1704"/>
      <c r="E96" s="1704"/>
    </row>
    <row r="97" spans="1:5" s="72" customFormat="1" x14ac:dyDescent="0.2">
      <c r="A97" s="1709"/>
      <c r="B97" s="1704"/>
      <c r="C97" s="1704"/>
      <c r="D97" s="1704"/>
      <c r="E97" s="1704"/>
    </row>
    <row r="98" spans="1:5" s="72" customFormat="1" x14ac:dyDescent="0.2">
      <c r="A98" s="1710"/>
      <c r="B98" s="1704"/>
      <c r="C98" s="1704"/>
      <c r="D98" s="1704"/>
      <c r="E98" s="1704"/>
    </row>
    <row r="100" spans="1:5" ht="24" customHeight="1" x14ac:dyDescent="0.2">
      <c r="A100" s="691" t="s">
        <v>1224</v>
      </c>
      <c r="B100" s="1712" t="s">
        <v>1289</v>
      </c>
      <c r="C100" s="1712"/>
      <c r="D100" s="1712"/>
    </row>
    <row r="101" spans="1:5" x14ac:dyDescent="0.2">
      <c r="A101" s="691" t="s">
        <v>1226</v>
      </c>
      <c r="B101" s="1713">
        <v>2017011000099</v>
      </c>
      <c r="C101" s="1713"/>
      <c r="D101" s="1713"/>
    </row>
    <row r="102" spans="1:5" x14ac:dyDescent="0.2">
      <c r="A102" s="692" t="s">
        <v>1227</v>
      </c>
      <c r="B102" s="1711" t="s">
        <v>1290</v>
      </c>
      <c r="C102" s="1711"/>
      <c r="D102" s="1711"/>
    </row>
    <row r="103" spans="1:5" x14ac:dyDescent="0.2">
      <c r="A103" s="1715" t="s">
        <v>1247</v>
      </c>
      <c r="B103" s="1715" t="s">
        <v>1277</v>
      </c>
      <c r="C103" s="1715"/>
      <c r="D103" s="693" t="s">
        <v>1283</v>
      </c>
      <c r="E103" s="689" t="s">
        <v>1328</v>
      </c>
    </row>
    <row r="104" spans="1:5" x14ac:dyDescent="0.2">
      <c r="A104" s="1715"/>
      <c r="B104" s="690" t="s">
        <v>1257</v>
      </c>
      <c r="C104" s="690" t="s">
        <v>1231</v>
      </c>
      <c r="D104" s="690">
        <v>2018</v>
      </c>
      <c r="E104" s="690"/>
    </row>
    <row r="105" spans="1:5" x14ac:dyDescent="0.2">
      <c r="A105" s="1704" t="s">
        <v>1291</v>
      </c>
      <c r="B105" s="1704" t="s">
        <v>1292</v>
      </c>
      <c r="C105" s="1704" t="s">
        <v>1293</v>
      </c>
      <c r="D105" s="1705">
        <v>125393</v>
      </c>
      <c r="E105" s="1705">
        <f>GTIC!BD15</f>
        <v>34684</v>
      </c>
    </row>
    <row r="106" spans="1:5" x14ac:dyDescent="0.2">
      <c r="A106" s="1704"/>
      <c r="B106" s="1704"/>
      <c r="C106" s="1704"/>
      <c r="D106" s="1706"/>
      <c r="E106" s="1706"/>
    </row>
    <row r="107" spans="1:5" x14ac:dyDescent="0.2">
      <c r="A107" s="1704"/>
      <c r="B107" s="1704"/>
      <c r="C107" s="1704"/>
      <c r="D107" s="1706"/>
      <c r="E107" s="1706"/>
    </row>
    <row r="108" spans="1:5" x14ac:dyDescent="0.2">
      <c r="A108" s="1704"/>
      <c r="B108" s="1704"/>
      <c r="C108" s="1704"/>
      <c r="D108" s="1706"/>
      <c r="E108" s="1706"/>
    </row>
    <row r="109" spans="1:5" x14ac:dyDescent="0.2">
      <c r="A109" s="1704"/>
      <c r="B109" s="1704"/>
      <c r="C109" s="1704"/>
      <c r="D109" s="1707"/>
      <c r="E109" s="1707"/>
    </row>
    <row r="110" spans="1:5" x14ac:dyDescent="0.2">
      <c r="A110" s="1714" t="s">
        <v>1287</v>
      </c>
      <c r="B110" s="1714"/>
      <c r="C110" s="1714"/>
      <c r="D110" s="1714"/>
    </row>
    <row r="112" spans="1:5" x14ac:dyDescent="0.2">
      <c r="A112" s="691" t="s">
        <v>1224</v>
      </c>
      <c r="B112" s="1712" t="s">
        <v>1312</v>
      </c>
      <c r="C112" s="1712"/>
      <c r="D112" s="1712"/>
    </row>
    <row r="113" spans="1:5" x14ac:dyDescent="0.2">
      <c r="A113" s="694" t="s">
        <v>1226</v>
      </c>
      <c r="B113" s="1711" t="s">
        <v>1294</v>
      </c>
      <c r="C113" s="1711"/>
      <c r="D113" s="1711"/>
    </row>
    <row r="114" spans="1:5" x14ac:dyDescent="0.2">
      <c r="A114" s="695" t="s">
        <v>1227</v>
      </c>
      <c r="B114" s="1711" t="s">
        <v>1295</v>
      </c>
      <c r="C114" s="1711"/>
      <c r="D114" s="1711"/>
    </row>
    <row r="115" spans="1:5" ht="22.5" x14ac:dyDescent="0.2">
      <c r="A115" s="695" t="s">
        <v>1229</v>
      </c>
      <c r="B115" s="696" t="s">
        <v>1230</v>
      </c>
      <c r="C115" s="696" t="s">
        <v>1231</v>
      </c>
      <c r="D115" s="696" t="s">
        <v>1232</v>
      </c>
      <c r="E115" s="689" t="s">
        <v>1328</v>
      </c>
    </row>
    <row r="116" spans="1:5" x14ac:dyDescent="0.2">
      <c r="A116" s="1699" t="s">
        <v>1296</v>
      </c>
      <c r="B116" s="1701" t="s">
        <v>1297</v>
      </c>
      <c r="C116" s="1701" t="s">
        <v>1235</v>
      </c>
      <c r="D116" s="1703">
        <v>2</v>
      </c>
      <c r="E116" s="1757">
        <f>'PLAN ESTRATEGICO'!P3</f>
        <v>1.2750000000000001</v>
      </c>
    </row>
    <row r="117" spans="1:5" x14ac:dyDescent="0.2">
      <c r="A117" s="1700"/>
      <c r="B117" s="1702"/>
      <c r="C117" s="1702"/>
      <c r="D117" s="1703"/>
      <c r="E117" s="1703"/>
    </row>
    <row r="118" spans="1:5" x14ac:dyDescent="0.2">
      <c r="A118" s="1700"/>
      <c r="B118" s="1702"/>
      <c r="C118" s="1702"/>
      <c r="D118" s="1703"/>
      <c r="E118" s="1703"/>
    </row>
    <row r="119" spans="1:5" x14ac:dyDescent="0.2">
      <c r="A119" s="1692" t="s">
        <v>1236</v>
      </c>
      <c r="B119" s="1693"/>
      <c r="C119" s="1693"/>
      <c r="D119" s="697"/>
      <c r="E119" s="697"/>
    </row>
    <row r="120" spans="1:5" x14ac:dyDescent="0.2">
      <c r="A120" s="1699" t="s">
        <v>1298</v>
      </c>
      <c r="B120" s="1701" t="s">
        <v>1299</v>
      </c>
      <c r="C120" s="1701" t="s">
        <v>1235</v>
      </c>
      <c r="D120" s="1703">
        <v>2</v>
      </c>
      <c r="E120" s="1703">
        <f>GEeI!BD9*4</f>
        <v>1.9844000000000002</v>
      </c>
    </row>
    <row r="121" spans="1:5" x14ac:dyDescent="0.2">
      <c r="A121" s="1700"/>
      <c r="B121" s="1702"/>
      <c r="C121" s="1702"/>
      <c r="D121" s="1703"/>
      <c r="E121" s="1703"/>
    </row>
    <row r="122" spans="1:5" x14ac:dyDescent="0.2">
      <c r="A122" s="1700"/>
      <c r="B122" s="1702"/>
      <c r="C122" s="1702"/>
      <c r="D122" s="1703"/>
      <c r="E122" s="1703"/>
    </row>
    <row r="123" spans="1:5" x14ac:dyDescent="0.2">
      <c r="A123" s="1692" t="s">
        <v>1240</v>
      </c>
      <c r="B123" s="1693"/>
      <c r="C123" s="1693"/>
      <c r="D123" s="698"/>
      <c r="E123" s="698"/>
    </row>
    <row r="124" spans="1:5" x14ac:dyDescent="0.2">
      <c r="A124" s="1699" t="s">
        <v>1300</v>
      </c>
      <c r="B124" s="1701" t="s">
        <v>1301</v>
      </c>
      <c r="C124" s="1701" t="s">
        <v>1235</v>
      </c>
      <c r="D124" s="1703">
        <v>0</v>
      </c>
      <c r="E124" s="1758">
        <v>0</v>
      </c>
    </row>
    <row r="125" spans="1:5" x14ac:dyDescent="0.2">
      <c r="A125" s="1700"/>
      <c r="B125" s="1702"/>
      <c r="C125" s="1702"/>
      <c r="D125" s="1703"/>
      <c r="E125" s="1758"/>
    </row>
    <row r="126" spans="1:5" x14ac:dyDescent="0.2">
      <c r="A126" s="1700"/>
      <c r="B126" s="1702"/>
      <c r="C126" s="1702"/>
      <c r="D126" s="1703"/>
      <c r="E126" s="1758"/>
    </row>
    <row r="127" spans="1:5" x14ac:dyDescent="0.2">
      <c r="A127" s="1692" t="s">
        <v>1243</v>
      </c>
      <c r="B127" s="1693"/>
      <c r="C127" s="1693"/>
      <c r="D127" s="699"/>
      <c r="E127" s="699"/>
    </row>
    <row r="128" spans="1:5" ht="13.5" thickBot="1" x14ac:dyDescent="0.25">
      <c r="A128" s="1694" t="s">
        <v>1244</v>
      </c>
      <c r="B128" s="1695"/>
      <c r="C128" s="1695"/>
      <c r="D128" s="700"/>
    </row>
    <row r="130" spans="1:5" ht="15" customHeight="1" x14ac:dyDescent="0.2">
      <c r="A130" s="676" t="s">
        <v>1224</v>
      </c>
      <c r="B130" s="1698" t="s">
        <v>1311</v>
      </c>
      <c r="C130" s="1698"/>
      <c r="D130" s="1698"/>
    </row>
    <row r="131" spans="1:5" ht="15" x14ac:dyDescent="0.2">
      <c r="A131" s="678" t="s">
        <v>1226</v>
      </c>
      <c r="B131" s="1696" t="s">
        <v>1302</v>
      </c>
      <c r="C131" s="1696"/>
      <c r="D131" s="1696"/>
    </row>
    <row r="132" spans="1:5" ht="15" x14ac:dyDescent="0.2">
      <c r="A132" s="678" t="s">
        <v>1227</v>
      </c>
      <c r="B132" s="1697" t="s">
        <v>1303</v>
      </c>
      <c r="C132" s="1697"/>
      <c r="D132" s="1697"/>
    </row>
    <row r="133" spans="1:5" ht="30" x14ac:dyDescent="0.2">
      <c r="A133" s="678" t="s">
        <v>1304</v>
      </c>
      <c r="B133" s="678" t="s">
        <v>1257</v>
      </c>
      <c r="C133" s="679" t="s">
        <v>1305</v>
      </c>
      <c r="D133" s="680" t="s">
        <v>1232</v>
      </c>
      <c r="E133" s="689" t="s">
        <v>1328</v>
      </c>
    </row>
    <row r="134" spans="1:5" x14ac:dyDescent="0.2">
      <c r="A134" s="1689" t="s">
        <v>1306</v>
      </c>
      <c r="B134" s="1689" t="s">
        <v>1307</v>
      </c>
      <c r="C134" s="1689" t="s">
        <v>1235</v>
      </c>
      <c r="D134" s="1689">
        <v>2</v>
      </c>
      <c r="E134" s="1689">
        <f>'PLAN ESTRATEGICO'!P5</f>
        <v>0.49980000000000002</v>
      </c>
    </row>
    <row r="135" spans="1:5" x14ac:dyDescent="0.2">
      <c r="A135" s="1689"/>
      <c r="B135" s="1689"/>
      <c r="C135" s="1689"/>
      <c r="D135" s="1689"/>
      <c r="E135" s="1689"/>
    </row>
    <row r="136" spans="1:5" x14ac:dyDescent="0.2">
      <c r="A136" s="1689"/>
      <c r="B136" s="1689"/>
      <c r="C136" s="1689"/>
      <c r="D136" s="1689"/>
      <c r="E136" s="1689"/>
    </row>
    <row r="137" spans="1:5" ht="15" x14ac:dyDescent="0.2">
      <c r="A137" s="1686" t="s">
        <v>1236</v>
      </c>
      <c r="B137" s="1687"/>
      <c r="C137" s="1687"/>
      <c r="D137" s="677"/>
      <c r="E137" s="677"/>
    </row>
    <row r="138" spans="1:5" x14ac:dyDescent="0.2">
      <c r="A138" s="1661" t="s">
        <v>1308</v>
      </c>
      <c r="B138" s="1689" t="s">
        <v>1309</v>
      </c>
      <c r="C138" s="1689" t="s">
        <v>1235</v>
      </c>
      <c r="D138" s="1689">
        <v>2</v>
      </c>
      <c r="E138" s="1689">
        <f>GPyE!BE22</f>
        <v>0</v>
      </c>
    </row>
    <row r="139" spans="1:5" x14ac:dyDescent="0.2">
      <c r="A139" s="1688"/>
      <c r="B139" s="1689"/>
      <c r="C139" s="1689"/>
      <c r="D139" s="1689"/>
      <c r="E139" s="1689"/>
    </row>
    <row r="140" spans="1:5" x14ac:dyDescent="0.2">
      <c r="A140" s="1688"/>
      <c r="B140" s="1689"/>
      <c r="C140" s="1689" t="s">
        <v>1235</v>
      </c>
      <c r="D140" s="1689">
        <v>1</v>
      </c>
      <c r="E140" s="1689"/>
    </row>
    <row r="141" spans="1:5" ht="15" x14ac:dyDescent="0.2">
      <c r="A141" s="1690" t="s">
        <v>1310</v>
      </c>
      <c r="B141" s="1691"/>
      <c r="C141" s="1691"/>
      <c r="D141" s="677"/>
      <c r="E141" s="677"/>
    </row>
  </sheetData>
  <mergeCells count="184">
    <mergeCell ref="E116:E118"/>
    <mergeCell ref="E120:E122"/>
    <mergeCell ref="E124:E126"/>
    <mergeCell ref="E134:E136"/>
    <mergeCell ref="E138:E140"/>
    <mergeCell ref="E55:E56"/>
    <mergeCell ref="E57:E58"/>
    <mergeCell ref="E60:E61"/>
    <mergeCell ref="E69:E71"/>
    <mergeCell ref="E72:E73"/>
    <mergeCell ref="E75:E76"/>
    <mergeCell ref="E84:E86"/>
    <mergeCell ref="E87:E88"/>
    <mergeCell ref="E91:E93"/>
    <mergeCell ref="A4:A6"/>
    <mergeCell ref="B4:B6"/>
    <mergeCell ref="C4:C6"/>
    <mergeCell ref="D4:D6"/>
    <mergeCell ref="A7:D7"/>
    <mergeCell ref="A8:A12"/>
    <mergeCell ref="B8:B9"/>
    <mergeCell ref="E94:E98"/>
    <mergeCell ref="E105:E109"/>
    <mergeCell ref="B38:B39"/>
    <mergeCell ref="C38:C39"/>
    <mergeCell ref="D38:D39"/>
    <mergeCell ref="C8:C9"/>
    <mergeCell ref="D8:D9"/>
    <mergeCell ref="B10:B12"/>
    <mergeCell ref="C10:C12"/>
    <mergeCell ref="D10:D12"/>
    <mergeCell ref="C36:C37"/>
    <mergeCell ref="D36:D37"/>
    <mergeCell ref="D60:D61"/>
    <mergeCell ref="A62:C62"/>
    <mergeCell ref="A63:C63"/>
    <mergeCell ref="B27:D27"/>
    <mergeCell ref="A60:A61"/>
    <mergeCell ref="B1:D1"/>
    <mergeCell ref="B2:D2"/>
    <mergeCell ref="B14:B16"/>
    <mergeCell ref="C14:C16"/>
    <mergeCell ref="D14:D16"/>
    <mergeCell ref="A54:A58"/>
    <mergeCell ref="B55:B56"/>
    <mergeCell ref="C55:C56"/>
    <mergeCell ref="B57:B58"/>
    <mergeCell ref="C57:C58"/>
    <mergeCell ref="A24:A25"/>
    <mergeCell ref="B24:B25"/>
    <mergeCell ref="C24:C25"/>
    <mergeCell ref="D24:D25"/>
    <mergeCell ref="B50:D50"/>
    <mergeCell ref="B51:D51"/>
    <mergeCell ref="B52:D52"/>
    <mergeCell ref="D55:D56"/>
    <mergeCell ref="D57:D58"/>
    <mergeCell ref="D45:D46"/>
    <mergeCell ref="A47:B47"/>
    <mergeCell ref="A35:B35"/>
    <mergeCell ref="A36:A41"/>
    <mergeCell ref="B36:B37"/>
    <mergeCell ref="B60:B61"/>
    <mergeCell ref="C60:C61"/>
    <mergeCell ref="D40:D41"/>
    <mergeCell ref="A42:B42"/>
    <mergeCell ref="A43:A46"/>
    <mergeCell ref="B43:B44"/>
    <mergeCell ref="B28:D28"/>
    <mergeCell ref="B29:D29"/>
    <mergeCell ref="A31:A34"/>
    <mergeCell ref="B31:B32"/>
    <mergeCell ref="C31:C32"/>
    <mergeCell ref="D31:D32"/>
    <mergeCell ref="B33:B34"/>
    <mergeCell ref="C33:C34"/>
    <mergeCell ref="D33:D34"/>
    <mergeCell ref="C43:C44"/>
    <mergeCell ref="D43:D44"/>
    <mergeCell ref="B45:B46"/>
    <mergeCell ref="C45:C46"/>
    <mergeCell ref="B65:D65"/>
    <mergeCell ref="B66:D66"/>
    <mergeCell ref="B67:D67"/>
    <mergeCell ref="A69:A73"/>
    <mergeCell ref="B69:B71"/>
    <mergeCell ref="C69:C71"/>
    <mergeCell ref="D69:D71"/>
    <mergeCell ref="B72:B73"/>
    <mergeCell ref="C72:C73"/>
    <mergeCell ref="D72:D73"/>
    <mergeCell ref="A89:A90"/>
    <mergeCell ref="A74:C74"/>
    <mergeCell ref="A75:A76"/>
    <mergeCell ref="B75:B76"/>
    <mergeCell ref="C75:C76"/>
    <mergeCell ref="D75:D76"/>
    <mergeCell ref="A77:C77"/>
    <mergeCell ref="B79:D79"/>
    <mergeCell ref="B80:D80"/>
    <mergeCell ref="B81:D81"/>
    <mergeCell ref="B82:C82"/>
    <mergeCell ref="B89:C89"/>
    <mergeCell ref="B87:B88"/>
    <mergeCell ref="C87:C88"/>
    <mergeCell ref="D87:D88"/>
    <mergeCell ref="A82:A83"/>
    <mergeCell ref="A84:A88"/>
    <mergeCell ref="B84:B86"/>
    <mergeCell ref="C84:C86"/>
    <mergeCell ref="D84:D86"/>
    <mergeCell ref="A105:A109"/>
    <mergeCell ref="B105:B109"/>
    <mergeCell ref="C105:C109"/>
    <mergeCell ref="D105:D109"/>
    <mergeCell ref="C116:C118"/>
    <mergeCell ref="D116:D118"/>
    <mergeCell ref="B91:B93"/>
    <mergeCell ref="C91:C93"/>
    <mergeCell ref="D91:D93"/>
    <mergeCell ref="A91:A98"/>
    <mergeCell ref="B94:B98"/>
    <mergeCell ref="C94:C98"/>
    <mergeCell ref="D94:D98"/>
    <mergeCell ref="B114:D114"/>
    <mergeCell ref="A116:A118"/>
    <mergeCell ref="B116:B118"/>
    <mergeCell ref="B100:D100"/>
    <mergeCell ref="B101:D101"/>
    <mergeCell ref="B102:D102"/>
    <mergeCell ref="A110:D110"/>
    <mergeCell ref="B113:D113"/>
    <mergeCell ref="B112:D112"/>
    <mergeCell ref="A103:A104"/>
    <mergeCell ref="B103:C103"/>
    <mergeCell ref="A119:C119"/>
    <mergeCell ref="A120:A122"/>
    <mergeCell ref="B120:B122"/>
    <mergeCell ref="C120:C122"/>
    <mergeCell ref="D120:D122"/>
    <mergeCell ref="A124:A126"/>
    <mergeCell ref="B124:B126"/>
    <mergeCell ref="C124:C126"/>
    <mergeCell ref="D124:D126"/>
    <mergeCell ref="A123:C123"/>
    <mergeCell ref="A137:C137"/>
    <mergeCell ref="A138:A140"/>
    <mergeCell ref="B138:B140"/>
    <mergeCell ref="C138:C140"/>
    <mergeCell ref="D138:D140"/>
    <mergeCell ref="A141:C141"/>
    <mergeCell ref="A127:C127"/>
    <mergeCell ref="A128:C128"/>
    <mergeCell ref="B131:D131"/>
    <mergeCell ref="B132:D132"/>
    <mergeCell ref="A134:A136"/>
    <mergeCell ref="B134:B136"/>
    <mergeCell ref="C134:C136"/>
    <mergeCell ref="D134:D136"/>
    <mergeCell ref="B130:D130"/>
    <mergeCell ref="E4:E6"/>
    <mergeCell ref="E8:E9"/>
    <mergeCell ref="E10:E12"/>
    <mergeCell ref="E14:E16"/>
    <mergeCell ref="E21:E22"/>
    <mergeCell ref="E43:E44"/>
    <mergeCell ref="B40:B41"/>
    <mergeCell ref="C40:C41"/>
    <mergeCell ref="E45:E46"/>
    <mergeCell ref="E24:E25"/>
    <mergeCell ref="E31:E32"/>
    <mergeCell ref="E33:E34"/>
    <mergeCell ref="E36:E37"/>
    <mergeCell ref="E38:E39"/>
    <mergeCell ref="E40:E41"/>
    <mergeCell ref="A23:D23"/>
    <mergeCell ref="A13:D13"/>
    <mergeCell ref="B18:D18"/>
    <mergeCell ref="B19:D19"/>
    <mergeCell ref="A21:A22"/>
    <mergeCell ref="B21:B22"/>
    <mergeCell ref="C21:C22"/>
    <mergeCell ref="D21:D22"/>
    <mergeCell ref="A14:A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42"/>
  <sheetViews>
    <sheetView topLeftCell="E1" zoomScaleNormal="100" zoomScaleSheetLayoutView="100" workbookViewId="0">
      <selection activeCell="R6" sqref="R6"/>
    </sheetView>
  </sheetViews>
  <sheetFormatPr baseColWidth="10" defaultRowHeight="12.75" x14ac:dyDescent="0.2"/>
  <cols>
    <col min="1" max="1" width="4.7109375" style="702" customWidth="1"/>
    <col min="2" max="2" width="17.7109375" style="702" customWidth="1"/>
    <col min="3" max="3" width="35.7109375" style="837" customWidth="1"/>
    <col min="4" max="4" width="38.7109375" style="837" customWidth="1"/>
    <col min="5" max="5" width="36.28515625" style="838" customWidth="1"/>
    <col min="6" max="6" width="34.5703125" style="838" customWidth="1"/>
    <col min="7" max="7" width="19.42578125" style="838" customWidth="1"/>
    <col min="8" max="8" width="6.28515625" style="702" hidden="1" customWidth="1"/>
    <col min="9" max="11" width="6.42578125" style="702" hidden="1" customWidth="1"/>
    <col min="12" max="17" width="5.28515625" style="702" hidden="1" customWidth="1"/>
    <col min="18" max="22" width="25.7109375" style="702" customWidth="1"/>
    <col min="23" max="23" width="5.140625" style="702" bestFit="1" customWidth="1"/>
    <col min="24" max="40" width="11.42578125" style="701"/>
    <col min="41" max="268" width="11.42578125" style="702"/>
    <col min="269" max="269" width="4.7109375" style="702" customWidth="1"/>
    <col min="270" max="270" width="17.7109375" style="702" customWidth="1"/>
    <col min="271" max="271" width="35.7109375" style="702" customWidth="1"/>
    <col min="272" max="272" width="38.7109375" style="702" customWidth="1"/>
    <col min="273" max="273" width="36.28515625" style="702" customWidth="1"/>
    <col min="274" max="274" width="34.5703125" style="702" customWidth="1"/>
    <col min="275" max="275" width="0" style="702" hidden="1" customWidth="1"/>
    <col min="276" max="276" width="6.28515625" style="702" bestFit="1" customWidth="1"/>
    <col min="277" max="277" width="6.42578125" style="702" bestFit="1" customWidth="1"/>
    <col min="278" max="279" width="5.28515625" style="702" bestFit="1" customWidth="1"/>
    <col min="280" max="524" width="11.42578125" style="702"/>
    <col min="525" max="525" width="4.7109375" style="702" customWidth="1"/>
    <col min="526" max="526" width="17.7109375" style="702" customWidth="1"/>
    <col min="527" max="527" width="35.7109375" style="702" customWidth="1"/>
    <col min="528" max="528" width="38.7109375" style="702" customWidth="1"/>
    <col min="529" max="529" width="36.28515625" style="702" customWidth="1"/>
    <col min="530" max="530" width="34.5703125" style="702" customWidth="1"/>
    <col min="531" max="531" width="0" style="702" hidden="1" customWidth="1"/>
    <col min="532" max="532" width="6.28515625" style="702" bestFit="1" customWidth="1"/>
    <col min="533" max="533" width="6.42578125" style="702" bestFit="1" customWidth="1"/>
    <col min="534" max="535" width="5.28515625" style="702" bestFit="1" customWidth="1"/>
    <col min="536" max="780" width="11.42578125" style="702"/>
    <col min="781" max="781" width="4.7109375" style="702" customWidth="1"/>
    <col min="782" max="782" width="17.7109375" style="702" customWidth="1"/>
    <col min="783" max="783" width="35.7109375" style="702" customWidth="1"/>
    <col min="784" max="784" width="38.7109375" style="702" customWidth="1"/>
    <col min="785" max="785" width="36.28515625" style="702" customWidth="1"/>
    <col min="786" max="786" width="34.5703125" style="702" customWidth="1"/>
    <col min="787" max="787" width="0" style="702" hidden="1" customWidth="1"/>
    <col min="788" max="788" width="6.28515625" style="702" bestFit="1" customWidth="1"/>
    <col min="789" max="789" width="6.42578125" style="702" bestFit="1" customWidth="1"/>
    <col min="790" max="791" width="5.28515625" style="702" bestFit="1" customWidth="1"/>
    <col min="792" max="1036" width="11.42578125" style="702"/>
    <col min="1037" max="1037" width="4.7109375" style="702" customWidth="1"/>
    <col min="1038" max="1038" width="17.7109375" style="702" customWidth="1"/>
    <col min="1039" max="1039" width="35.7109375" style="702" customWidth="1"/>
    <col min="1040" max="1040" width="38.7109375" style="702" customWidth="1"/>
    <col min="1041" max="1041" width="36.28515625" style="702" customWidth="1"/>
    <col min="1042" max="1042" width="34.5703125" style="702" customWidth="1"/>
    <col min="1043" max="1043" width="0" style="702" hidden="1" customWidth="1"/>
    <col min="1044" max="1044" width="6.28515625" style="702" bestFit="1" customWidth="1"/>
    <col min="1045" max="1045" width="6.42578125" style="702" bestFit="1" customWidth="1"/>
    <col min="1046" max="1047" width="5.28515625" style="702" bestFit="1" customWidth="1"/>
    <col min="1048" max="1292" width="11.42578125" style="702"/>
    <col min="1293" max="1293" width="4.7109375" style="702" customWidth="1"/>
    <col min="1294" max="1294" width="17.7109375" style="702" customWidth="1"/>
    <col min="1295" max="1295" width="35.7109375" style="702" customWidth="1"/>
    <col min="1296" max="1296" width="38.7109375" style="702" customWidth="1"/>
    <col min="1297" max="1297" width="36.28515625" style="702" customWidth="1"/>
    <col min="1298" max="1298" width="34.5703125" style="702" customWidth="1"/>
    <col min="1299" max="1299" width="0" style="702" hidden="1" customWidth="1"/>
    <col min="1300" max="1300" width="6.28515625" style="702" bestFit="1" customWidth="1"/>
    <col min="1301" max="1301" width="6.42578125" style="702" bestFit="1" customWidth="1"/>
    <col min="1302" max="1303" width="5.28515625" style="702" bestFit="1" customWidth="1"/>
    <col min="1304" max="1548" width="11.42578125" style="702"/>
    <col min="1549" max="1549" width="4.7109375" style="702" customWidth="1"/>
    <col min="1550" max="1550" width="17.7109375" style="702" customWidth="1"/>
    <col min="1551" max="1551" width="35.7109375" style="702" customWidth="1"/>
    <col min="1552" max="1552" width="38.7109375" style="702" customWidth="1"/>
    <col min="1553" max="1553" width="36.28515625" style="702" customWidth="1"/>
    <col min="1554" max="1554" width="34.5703125" style="702" customWidth="1"/>
    <col min="1555" max="1555" width="0" style="702" hidden="1" customWidth="1"/>
    <col min="1556" max="1556" width="6.28515625" style="702" bestFit="1" customWidth="1"/>
    <col min="1557" max="1557" width="6.42578125" style="702" bestFit="1" customWidth="1"/>
    <col min="1558" max="1559" width="5.28515625" style="702" bestFit="1" customWidth="1"/>
    <col min="1560" max="1804" width="11.42578125" style="702"/>
    <col min="1805" max="1805" width="4.7109375" style="702" customWidth="1"/>
    <col min="1806" max="1806" width="17.7109375" style="702" customWidth="1"/>
    <col min="1807" max="1807" width="35.7109375" style="702" customWidth="1"/>
    <col min="1808" max="1808" width="38.7109375" style="702" customWidth="1"/>
    <col min="1809" max="1809" width="36.28515625" style="702" customWidth="1"/>
    <col min="1810" max="1810" width="34.5703125" style="702" customWidth="1"/>
    <col min="1811" max="1811" width="0" style="702" hidden="1" customWidth="1"/>
    <col min="1812" max="1812" width="6.28515625" style="702" bestFit="1" customWidth="1"/>
    <col min="1813" max="1813" width="6.42578125" style="702" bestFit="1" customWidth="1"/>
    <col min="1814" max="1815" width="5.28515625" style="702" bestFit="1" customWidth="1"/>
    <col min="1816" max="2060" width="11.42578125" style="702"/>
    <col min="2061" max="2061" width="4.7109375" style="702" customWidth="1"/>
    <col min="2062" max="2062" width="17.7109375" style="702" customWidth="1"/>
    <col min="2063" max="2063" width="35.7109375" style="702" customWidth="1"/>
    <col min="2064" max="2064" width="38.7109375" style="702" customWidth="1"/>
    <col min="2065" max="2065" width="36.28515625" style="702" customWidth="1"/>
    <col min="2066" max="2066" width="34.5703125" style="702" customWidth="1"/>
    <col min="2067" max="2067" width="0" style="702" hidden="1" customWidth="1"/>
    <col min="2068" max="2068" width="6.28515625" style="702" bestFit="1" customWidth="1"/>
    <col min="2069" max="2069" width="6.42578125" style="702" bestFit="1" customWidth="1"/>
    <col min="2070" max="2071" width="5.28515625" style="702" bestFit="1" customWidth="1"/>
    <col min="2072" max="2316" width="11.42578125" style="702"/>
    <col min="2317" max="2317" width="4.7109375" style="702" customWidth="1"/>
    <col min="2318" max="2318" width="17.7109375" style="702" customWidth="1"/>
    <col min="2319" max="2319" width="35.7109375" style="702" customWidth="1"/>
    <col min="2320" max="2320" width="38.7109375" style="702" customWidth="1"/>
    <col min="2321" max="2321" width="36.28515625" style="702" customWidth="1"/>
    <col min="2322" max="2322" width="34.5703125" style="702" customWidth="1"/>
    <col min="2323" max="2323" width="0" style="702" hidden="1" customWidth="1"/>
    <col min="2324" max="2324" width="6.28515625" style="702" bestFit="1" customWidth="1"/>
    <col min="2325" max="2325" width="6.42578125" style="702" bestFit="1" customWidth="1"/>
    <col min="2326" max="2327" width="5.28515625" style="702" bestFit="1" customWidth="1"/>
    <col min="2328" max="2572" width="11.42578125" style="702"/>
    <col min="2573" max="2573" width="4.7109375" style="702" customWidth="1"/>
    <col min="2574" max="2574" width="17.7109375" style="702" customWidth="1"/>
    <col min="2575" max="2575" width="35.7109375" style="702" customWidth="1"/>
    <col min="2576" max="2576" width="38.7109375" style="702" customWidth="1"/>
    <col min="2577" max="2577" width="36.28515625" style="702" customWidth="1"/>
    <col min="2578" max="2578" width="34.5703125" style="702" customWidth="1"/>
    <col min="2579" max="2579" width="0" style="702" hidden="1" customWidth="1"/>
    <col min="2580" max="2580" width="6.28515625" style="702" bestFit="1" customWidth="1"/>
    <col min="2581" max="2581" width="6.42578125" style="702" bestFit="1" customWidth="1"/>
    <col min="2582" max="2583" width="5.28515625" style="702" bestFit="1" customWidth="1"/>
    <col min="2584" max="2828" width="11.42578125" style="702"/>
    <col min="2829" max="2829" width="4.7109375" style="702" customWidth="1"/>
    <col min="2830" max="2830" width="17.7109375" style="702" customWidth="1"/>
    <col min="2831" max="2831" width="35.7109375" style="702" customWidth="1"/>
    <col min="2832" max="2832" width="38.7109375" style="702" customWidth="1"/>
    <col min="2833" max="2833" width="36.28515625" style="702" customWidth="1"/>
    <col min="2834" max="2834" width="34.5703125" style="702" customWidth="1"/>
    <col min="2835" max="2835" width="0" style="702" hidden="1" customWidth="1"/>
    <col min="2836" max="2836" width="6.28515625" style="702" bestFit="1" customWidth="1"/>
    <col min="2837" max="2837" width="6.42578125" style="702" bestFit="1" customWidth="1"/>
    <col min="2838" max="2839" width="5.28515625" style="702" bestFit="1" customWidth="1"/>
    <col min="2840" max="3084" width="11.42578125" style="702"/>
    <col min="3085" max="3085" width="4.7109375" style="702" customWidth="1"/>
    <col min="3086" max="3086" width="17.7109375" style="702" customWidth="1"/>
    <col min="3087" max="3087" width="35.7109375" style="702" customWidth="1"/>
    <col min="3088" max="3088" width="38.7109375" style="702" customWidth="1"/>
    <col min="3089" max="3089" width="36.28515625" style="702" customWidth="1"/>
    <col min="3090" max="3090" width="34.5703125" style="702" customWidth="1"/>
    <col min="3091" max="3091" width="0" style="702" hidden="1" customWidth="1"/>
    <col min="3092" max="3092" width="6.28515625" style="702" bestFit="1" customWidth="1"/>
    <col min="3093" max="3093" width="6.42578125" style="702" bestFit="1" customWidth="1"/>
    <col min="3094" max="3095" width="5.28515625" style="702" bestFit="1" customWidth="1"/>
    <col min="3096" max="3340" width="11.42578125" style="702"/>
    <col min="3341" max="3341" width="4.7109375" style="702" customWidth="1"/>
    <col min="3342" max="3342" width="17.7109375" style="702" customWidth="1"/>
    <col min="3343" max="3343" width="35.7109375" style="702" customWidth="1"/>
    <col min="3344" max="3344" width="38.7109375" style="702" customWidth="1"/>
    <col min="3345" max="3345" width="36.28515625" style="702" customWidth="1"/>
    <col min="3346" max="3346" width="34.5703125" style="702" customWidth="1"/>
    <col min="3347" max="3347" width="0" style="702" hidden="1" customWidth="1"/>
    <col min="3348" max="3348" width="6.28515625" style="702" bestFit="1" customWidth="1"/>
    <col min="3349" max="3349" width="6.42578125" style="702" bestFit="1" customWidth="1"/>
    <col min="3350" max="3351" width="5.28515625" style="702" bestFit="1" customWidth="1"/>
    <col min="3352" max="3596" width="11.42578125" style="702"/>
    <col min="3597" max="3597" width="4.7109375" style="702" customWidth="1"/>
    <col min="3598" max="3598" width="17.7109375" style="702" customWidth="1"/>
    <col min="3599" max="3599" width="35.7109375" style="702" customWidth="1"/>
    <col min="3600" max="3600" width="38.7109375" style="702" customWidth="1"/>
    <col min="3601" max="3601" width="36.28515625" style="702" customWidth="1"/>
    <col min="3602" max="3602" width="34.5703125" style="702" customWidth="1"/>
    <col min="3603" max="3603" width="0" style="702" hidden="1" customWidth="1"/>
    <col min="3604" max="3604" width="6.28515625" style="702" bestFit="1" customWidth="1"/>
    <col min="3605" max="3605" width="6.42578125" style="702" bestFit="1" customWidth="1"/>
    <col min="3606" max="3607" width="5.28515625" style="702" bestFit="1" customWidth="1"/>
    <col min="3608" max="3852" width="11.42578125" style="702"/>
    <col min="3853" max="3853" width="4.7109375" style="702" customWidth="1"/>
    <col min="3854" max="3854" width="17.7109375" style="702" customWidth="1"/>
    <col min="3855" max="3855" width="35.7109375" style="702" customWidth="1"/>
    <col min="3856" max="3856" width="38.7109375" style="702" customWidth="1"/>
    <col min="3857" max="3857" width="36.28515625" style="702" customWidth="1"/>
    <col min="3858" max="3858" width="34.5703125" style="702" customWidth="1"/>
    <col min="3859" max="3859" width="0" style="702" hidden="1" customWidth="1"/>
    <col min="3860" max="3860" width="6.28515625" style="702" bestFit="1" customWidth="1"/>
    <col min="3861" max="3861" width="6.42578125" style="702" bestFit="1" customWidth="1"/>
    <col min="3862" max="3863" width="5.28515625" style="702" bestFit="1" customWidth="1"/>
    <col min="3864" max="4108" width="11.42578125" style="702"/>
    <col min="4109" max="4109" width="4.7109375" style="702" customWidth="1"/>
    <col min="4110" max="4110" width="17.7109375" style="702" customWidth="1"/>
    <col min="4111" max="4111" width="35.7109375" style="702" customWidth="1"/>
    <col min="4112" max="4112" width="38.7109375" style="702" customWidth="1"/>
    <col min="4113" max="4113" width="36.28515625" style="702" customWidth="1"/>
    <col min="4114" max="4114" width="34.5703125" style="702" customWidth="1"/>
    <col min="4115" max="4115" width="0" style="702" hidden="1" customWidth="1"/>
    <col min="4116" max="4116" width="6.28515625" style="702" bestFit="1" customWidth="1"/>
    <col min="4117" max="4117" width="6.42578125" style="702" bestFit="1" customWidth="1"/>
    <col min="4118" max="4119" width="5.28515625" style="702" bestFit="1" customWidth="1"/>
    <col min="4120" max="4364" width="11.42578125" style="702"/>
    <col min="4365" max="4365" width="4.7109375" style="702" customWidth="1"/>
    <col min="4366" max="4366" width="17.7109375" style="702" customWidth="1"/>
    <col min="4367" max="4367" width="35.7109375" style="702" customWidth="1"/>
    <col min="4368" max="4368" width="38.7109375" style="702" customWidth="1"/>
    <col min="4369" max="4369" width="36.28515625" style="702" customWidth="1"/>
    <col min="4370" max="4370" width="34.5703125" style="702" customWidth="1"/>
    <col min="4371" max="4371" width="0" style="702" hidden="1" customWidth="1"/>
    <col min="4372" max="4372" width="6.28515625" style="702" bestFit="1" customWidth="1"/>
    <col min="4373" max="4373" width="6.42578125" style="702" bestFit="1" customWidth="1"/>
    <col min="4374" max="4375" width="5.28515625" style="702" bestFit="1" customWidth="1"/>
    <col min="4376" max="4620" width="11.42578125" style="702"/>
    <col min="4621" max="4621" width="4.7109375" style="702" customWidth="1"/>
    <col min="4622" max="4622" width="17.7109375" style="702" customWidth="1"/>
    <col min="4623" max="4623" width="35.7109375" style="702" customWidth="1"/>
    <col min="4624" max="4624" width="38.7109375" style="702" customWidth="1"/>
    <col min="4625" max="4625" width="36.28515625" style="702" customWidth="1"/>
    <col min="4626" max="4626" width="34.5703125" style="702" customWidth="1"/>
    <col min="4627" max="4627" width="0" style="702" hidden="1" customWidth="1"/>
    <col min="4628" max="4628" width="6.28515625" style="702" bestFit="1" customWidth="1"/>
    <col min="4629" max="4629" width="6.42578125" style="702" bestFit="1" customWidth="1"/>
    <col min="4630" max="4631" width="5.28515625" style="702" bestFit="1" customWidth="1"/>
    <col min="4632" max="4876" width="11.42578125" style="702"/>
    <col min="4877" max="4877" width="4.7109375" style="702" customWidth="1"/>
    <col min="4878" max="4878" width="17.7109375" style="702" customWidth="1"/>
    <col min="4879" max="4879" width="35.7109375" style="702" customWidth="1"/>
    <col min="4880" max="4880" width="38.7109375" style="702" customWidth="1"/>
    <col min="4881" max="4881" width="36.28515625" style="702" customWidth="1"/>
    <col min="4882" max="4882" width="34.5703125" style="702" customWidth="1"/>
    <col min="4883" max="4883" width="0" style="702" hidden="1" customWidth="1"/>
    <col min="4884" max="4884" width="6.28515625" style="702" bestFit="1" customWidth="1"/>
    <col min="4885" max="4885" width="6.42578125" style="702" bestFit="1" customWidth="1"/>
    <col min="4886" max="4887" width="5.28515625" style="702" bestFit="1" customWidth="1"/>
    <col min="4888" max="5132" width="11.42578125" style="702"/>
    <col min="5133" max="5133" width="4.7109375" style="702" customWidth="1"/>
    <col min="5134" max="5134" width="17.7109375" style="702" customWidth="1"/>
    <col min="5135" max="5135" width="35.7109375" style="702" customWidth="1"/>
    <col min="5136" max="5136" width="38.7109375" style="702" customWidth="1"/>
    <col min="5137" max="5137" width="36.28515625" style="702" customWidth="1"/>
    <col min="5138" max="5138" width="34.5703125" style="702" customWidth="1"/>
    <col min="5139" max="5139" width="0" style="702" hidden="1" customWidth="1"/>
    <col min="5140" max="5140" width="6.28515625" style="702" bestFit="1" customWidth="1"/>
    <col min="5141" max="5141" width="6.42578125" style="702" bestFit="1" customWidth="1"/>
    <col min="5142" max="5143" width="5.28515625" style="702" bestFit="1" customWidth="1"/>
    <col min="5144" max="5388" width="11.42578125" style="702"/>
    <col min="5389" max="5389" width="4.7109375" style="702" customWidth="1"/>
    <col min="5390" max="5390" width="17.7109375" style="702" customWidth="1"/>
    <col min="5391" max="5391" width="35.7109375" style="702" customWidth="1"/>
    <col min="5392" max="5392" width="38.7109375" style="702" customWidth="1"/>
    <col min="5393" max="5393" width="36.28515625" style="702" customWidth="1"/>
    <col min="5394" max="5394" width="34.5703125" style="702" customWidth="1"/>
    <col min="5395" max="5395" width="0" style="702" hidden="1" customWidth="1"/>
    <col min="5396" max="5396" width="6.28515625" style="702" bestFit="1" customWidth="1"/>
    <col min="5397" max="5397" width="6.42578125" style="702" bestFit="1" customWidth="1"/>
    <col min="5398" max="5399" width="5.28515625" style="702" bestFit="1" customWidth="1"/>
    <col min="5400" max="5644" width="11.42578125" style="702"/>
    <col min="5645" max="5645" width="4.7109375" style="702" customWidth="1"/>
    <col min="5646" max="5646" width="17.7109375" style="702" customWidth="1"/>
    <col min="5647" max="5647" width="35.7109375" style="702" customWidth="1"/>
    <col min="5648" max="5648" width="38.7109375" style="702" customWidth="1"/>
    <col min="5649" max="5649" width="36.28515625" style="702" customWidth="1"/>
    <col min="5650" max="5650" width="34.5703125" style="702" customWidth="1"/>
    <col min="5651" max="5651" width="0" style="702" hidden="1" customWidth="1"/>
    <col min="5652" max="5652" width="6.28515625" style="702" bestFit="1" customWidth="1"/>
    <col min="5653" max="5653" width="6.42578125" style="702" bestFit="1" customWidth="1"/>
    <col min="5654" max="5655" width="5.28515625" style="702" bestFit="1" customWidth="1"/>
    <col min="5656" max="5900" width="11.42578125" style="702"/>
    <col min="5901" max="5901" width="4.7109375" style="702" customWidth="1"/>
    <col min="5902" max="5902" width="17.7109375" style="702" customWidth="1"/>
    <col min="5903" max="5903" width="35.7109375" style="702" customWidth="1"/>
    <col min="5904" max="5904" width="38.7109375" style="702" customWidth="1"/>
    <col min="5905" max="5905" width="36.28515625" style="702" customWidth="1"/>
    <col min="5906" max="5906" width="34.5703125" style="702" customWidth="1"/>
    <col min="5907" max="5907" width="0" style="702" hidden="1" customWidth="1"/>
    <col min="5908" max="5908" width="6.28515625" style="702" bestFit="1" customWidth="1"/>
    <col min="5909" max="5909" width="6.42578125" style="702" bestFit="1" customWidth="1"/>
    <col min="5910" max="5911" width="5.28515625" style="702" bestFit="1" customWidth="1"/>
    <col min="5912" max="6156" width="11.42578125" style="702"/>
    <col min="6157" max="6157" width="4.7109375" style="702" customWidth="1"/>
    <col min="6158" max="6158" width="17.7109375" style="702" customWidth="1"/>
    <col min="6159" max="6159" width="35.7109375" style="702" customWidth="1"/>
    <col min="6160" max="6160" width="38.7109375" style="702" customWidth="1"/>
    <col min="6161" max="6161" width="36.28515625" style="702" customWidth="1"/>
    <col min="6162" max="6162" width="34.5703125" style="702" customWidth="1"/>
    <col min="6163" max="6163" width="0" style="702" hidden="1" customWidth="1"/>
    <col min="6164" max="6164" width="6.28515625" style="702" bestFit="1" customWidth="1"/>
    <col min="6165" max="6165" width="6.42578125" style="702" bestFit="1" customWidth="1"/>
    <col min="6166" max="6167" width="5.28515625" style="702" bestFit="1" customWidth="1"/>
    <col min="6168" max="6412" width="11.42578125" style="702"/>
    <col min="6413" max="6413" width="4.7109375" style="702" customWidth="1"/>
    <col min="6414" max="6414" width="17.7109375" style="702" customWidth="1"/>
    <col min="6415" max="6415" width="35.7109375" style="702" customWidth="1"/>
    <col min="6416" max="6416" width="38.7109375" style="702" customWidth="1"/>
    <col min="6417" max="6417" width="36.28515625" style="702" customWidth="1"/>
    <col min="6418" max="6418" width="34.5703125" style="702" customWidth="1"/>
    <col min="6419" max="6419" width="0" style="702" hidden="1" customWidth="1"/>
    <col min="6420" max="6420" width="6.28515625" style="702" bestFit="1" customWidth="1"/>
    <col min="6421" max="6421" width="6.42578125" style="702" bestFit="1" customWidth="1"/>
    <col min="6422" max="6423" width="5.28515625" style="702" bestFit="1" customWidth="1"/>
    <col min="6424" max="6668" width="11.42578125" style="702"/>
    <col min="6669" max="6669" width="4.7109375" style="702" customWidth="1"/>
    <col min="6670" max="6670" width="17.7109375" style="702" customWidth="1"/>
    <col min="6671" max="6671" width="35.7109375" style="702" customWidth="1"/>
    <col min="6672" max="6672" width="38.7109375" style="702" customWidth="1"/>
    <col min="6673" max="6673" width="36.28515625" style="702" customWidth="1"/>
    <col min="6674" max="6674" width="34.5703125" style="702" customWidth="1"/>
    <col min="6675" max="6675" width="0" style="702" hidden="1" customWidth="1"/>
    <col min="6676" max="6676" width="6.28515625" style="702" bestFit="1" customWidth="1"/>
    <col min="6677" max="6677" width="6.42578125" style="702" bestFit="1" customWidth="1"/>
    <col min="6678" max="6679" width="5.28515625" style="702" bestFit="1" customWidth="1"/>
    <col min="6680" max="6924" width="11.42578125" style="702"/>
    <col min="6925" max="6925" width="4.7109375" style="702" customWidth="1"/>
    <col min="6926" max="6926" width="17.7109375" style="702" customWidth="1"/>
    <col min="6927" max="6927" width="35.7109375" style="702" customWidth="1"/>
    <col min="6928" max="6928" width="38.7109375" style="702" customWidth="1"/>
    <col min="6929" max="6929" width="36.28515625" style="702" customWidth="1"/>
    <col min="6930" max="6930" width="34.5703125" style="702" customWidth="1"/>
    <col min="6931" max="6931" width="0" style="702" hidden="1" customWidth="1"/>
    <col min="6932" max="6932" width="6.28515625" style="702" bestFit="1" customWidth="1"/>
    <col min="6933" max="6933" width="6.42578125" style="702" bestFit="1" customWidth="1"/>
    <col min="6934" max="6935" width="5.28515625" style="702" bestFit="1" customWidth="1"/>
    <col min="6936" max="7180" width="11.42578125" style="702"/>
    <col min="7181" max="7181" width="4.7109375" style="702" customWidth="1"/>
    <col min="7182" max="7182" width="17.7109375" style="702" customWidth="1"/>
    <col min="7183" max="7183" width="35.7109375" style="702" customWidth="1"/>
    <col min="7184" max="7184" width="38.7109375" style="702" customWidth="1"/>
    <col min="7185" max="7185" width="36.28515625" style="702" customWidth="1"/>
    <col min="7186" max="7186" width="34.5703125" style="702" customWidth="1"/>
    <col min="7187" max="7187" width="0" style="702" hidden="1" customWidth="1"/>
    <col min="7188" max="7188" width="6.28515625" style="702" bestFit="1" customWidth="1"/>
    <col min="7189" max="7189" width="6.42578125" style="702" bestFit="1" customWidth="1"/>
    <col min="7190" max="7191" width="5.28515625" style="702" bestFit="1" customWidth="1"/>
    <col min="7192" max="7436" width="11.42578125" style="702"/>
    <col min="7437" max="7437" width="4.7109375" style="702" customWidth="1"/>
    <col min="7438" max="7438" width="17.7109375" style="702" customWidth="1"/>
    <col min="7439" max="7439" width="35.7109375" style="702" customWidth="1"/>
    <col min="7440" max="7440" width="38.7109375" style="702" customWidth="1"/>
    <col min="7441" max="7441" width="36.28515625" style="702" customWidth="1"/>
    <col min="7442" max="7442" width="34.5703125" style="702" customWidth="1"/>
    <col min="7443" max="7443" width="0" style="702" hidden="1" customWidth="1"/>
    <col min="7444" max="7444" width="6.28515625" style="702" bestFit="1" customWidth="1"/>
    <col min="7445" max="7445" width="6.42578125" style="702" bestFit="1" customWidth="1"/>
    <col min="7446" max="7447" width="5.28515625" style="702" bestFit="1" customWidth="1"/>
    <col min="7448" max="7692" width="11.42578125" style="702"/>
    <col min="7693" max="7693" width="4.7109375" style="702" customWidth="1"/>
    <col min="7694" max="7694" width="17.7109375" style="702" customWidth="1"/>
    <col min="7695" max="7695" width="35.7109375" style="702" customWidth="1"/>
    <col min="7696" max="7696" width="38.7109375" style="702" customWidth="1"/>
    <col min="7697" max="7697" width="36.28515625" style="702" customWidth="1"/>
    <col min="7698" max="7698" width="34.5703125" style="702" customWidth="1"/>
    <col min="7699" max="7699" width="0" style="702" hidden="1" customWidth="1"/>
    <col min="7700" max="7700" width="6.28515625" style="702" bestFit="1" customWidth="1"/>
    <col min="7701" max="7701" width="6.42578125" style="702" bestFit="1" customWidth="1"/>
    <col min="7702" max="7703" width="5.28515625" style="702" bestFit="1" customWidth="1"/>
    <col min="7704" max="7948" width="11.42578125" style="702"/>
    <col min="7949" max="7949" width="4.7109375" style="702" customWidth="1"/>
    <col min="7950" max="7950" width="17.7109375" style="702" customWidth="1"/>
    <col min="7951" max="7951" width="35.7109375" style="702" customWidth="1"/>
    <col min="7952" max="7952" width="38.7109375" style="702" customWidth="1"/>
    <col min="7953" max="7953" width="36.28515625" style="702" customWidth="1"/>
    <col min="7954" max="7954" width="34.5703125" style="702" customWidth="1"/>
    <col min="7955" max="7955" width="0" style="702" hidden="1" customWidth="1"/>
    <col min="7956" max="7956" width="6.28515625" style="702" bestFit="1" customWidth="1"/>
    <col min="7957" max="7957" width="6.42578125" style="702" bestFit="1" customWidth="1"/>
    <col min="7958" max="7959" width="5.28515625" style="702" bestFit="1" customWidth="1"/>
    <col min="7960" max="8204" width="11.42578125" style="702"/>
    <col min="8205" max="8205" width="4.7109375" style="702" customWidth="1"/>
    <col min="8206" max="8206" width="17.7109375" style="702" customWidth="1"/>
    <col min="8207" max="8207" width="35.7109375" style="702" customWidth="1"/>
    <col min="8208" max="8208" width="38.7109375" style="702" customWidth="1"/>
    <col min="8209" max="8209" width="36.28515625" style="702" customWidth="1"/>
    <col min="8210" max="8210" width="34.5703125" style="702" customWidth="1"/>
    <col min="8211" max="8211" width="0" style="702" hidden="1" customWidth="1"/>
    <col min="8212" max="8212" width="6.28515625" style="702" bestFit="1" customWidth="1"/>
    <col min="8213" max="8213" width="6.42578125" style="702" bestFit="1" customWidth="1"/>
    <col min="8214" max="8215" width="5.28515625" style="702" bestFit="1" customWidth="1"/>
    <col min="8216" max="8460" width="11.42578125" style="702"/>
    <col min="8461" max="8461" width="4.7109375" style="702" customWidth="1"/>
    <col min="8462" max="8462" width="17.7109375" style="702" customWidth="1"/>
    <col min="8463" max="8463" width="35.7109375" style="702" customWidth="1"/>
    <col min="8464" max="8464" width="38.7109375" style="702" customWidth="1"/>
    <col min="8465" max="8465" width="36.28515625" style="702" customWidth="1"/>
    <col min="8466" max="8466" width="34.5703125" style="702" customWidth="1"/>
    <col min="8467" max="8467" width="0" style="702" hidden="1" customWidth="1"/>
    <col min="8468" max="8468" width="6.28515625" style="702" bestFit="1" customWidth="1"/>
    <col min="8469" max="8469" width="6.42578125" style="702" bestFit="1" customWidth="1"/>
    <col min="8470" max="8471" width="5.28515625" style="702" bestFit="1" customWidth="1"/>
    <col min="8472" max="8716" width="11.42578125" style="702"/>
    <col min="8717" max="8717" width="4.7109375" style="702" customWidth="1"/>
    <col min="8718" max="8718" width="17.7109375" style="702" customWidth="1"/>
    <col min="8719" max="8719" width="35.7109375" style="702" customWidth="1"/>
    <col min="8720" max="8720" width="38.7109375" style="702" customWidth="1"/>
    <col min="8721" max="8721" width="36.28515625" style="702" customWidth="1"/>
    <col min="8722" max="8722" width="34.5703125" style="702" customWidth="1"/>
    <col min="8723" max="8723" width="0" style="702" hidden="1" customWidth="1"/>
    <col min="8724" max="8724" width="6.28515625" style="702" bestFit="1" customWidth="1"/>
    <col min="8725" max="8725" width="6.42578125" style="702" bestFit="1" customWidth="1"/>
    <col min="8726" max="8727" width="5.28515625" style="702" bestFit="1" customWidth="1"/>
    <col min="8728" max="8972" width="11.42578125" style="702"/>
    <col min="8973" max="8973" width="4.7109375" style="702" customWidth="1"/>
    <col min="8974" max="8974" width="17.7109375" style="702" customWidth="1"/>
    <col min="8975" max="8975" width="35.7109375" style="702" customWidth="1"/>
    <col min="8976" max="8976" width="38.7109375" style="702" customWidth="1"/>
    <col min="8977" max="8977" width="36.28515625" style="702" customWidth="1"/>
    <col min="8978" max="8978" width="34.5703125" style="702" customWidth="1"/>
    <col min="8979" max="8979" width="0" style="702" hidden="1" customWidth="1"/>
    <col min="8980" max="8980" width="6.28515625" style="702" bestFit="1" customWidth="1"/>
    <col min="8981" max="8981" width="6.42578125" style="702" bestFit="1" customWidth="1"/>
    <col min="8982" max="8983" width="5.28515625" style="702" bestFit="1" customWidth="1"/>
    <col min="8984" max="9228" width="11.42578125" style="702"/>
    <col min="9229" max="9229" width="4.7109375" style="702" customWidth="1"/>
    <col min="9230" max="9230" width="17.7109375" style="702" customWidth="1"/>
    <col min="9231" max="9231" width="35.7109375" style="702" customWidth="1"/>
    <col min="9232" max="9232" width="38.7109375" style="702" customWidth="1"/>
    <col min="9233" max="9233" width="36.28515625" style="702" customWidth="1"/>
    <col min="9234" max="9234" width="34.5703125" style="702" customWidth="1"/>
    <col min="9235" max="9235" width="0" style="702" hidden="1" customWidth="1"/>
    <col min="9236" max="9236" width="6.28515625" style="702" bestFit="1" customWidth="1"/>
    <col min="9237" max="9237" width="6.42578125" style="702" bestFit="1" customWidth="1"/>
    <col min="9238" max="9239" width="5.28515625" style="702" bestFit="1" customWidth="1"/>
    <col min="9240" max="9484" width="11.42578125" style="702"/>
    <col min="9485" max="9485" width="4.7109375" style="702" customWidth="1"/>
    <col min="9486" max="9486" width="17.7109375" style="702" customWidth="1"/>
    <col min="9487" max="9487" width="35.7109375" style="702" customWidth="1"/>
    <col min="9488" max="9488" width="38.7109375" style="702" customWidth="1"/>
    <col min="9489" max="9489" width="36.28515625" style="702" customWidth="1"/>
    <col min="9490" max="9490" width="34.5703125" style="702" customWidth="1"/>
    <col min="9491" max="9491" width="0" style="702" hidden="1" customWidth="1"/>
    <col min="9492" max="9492" width="6.28515625" style="702" bestFit="1" customWidth="1"/>
    <col min="9493" max="9493" width="6.42578125" style="702" bestFit="1" customWidth="1"/>
    <col min="9494" max="9495" width="5.28515625" style="702" bestFit="1" customWidth="1"/>
    <col min="9496" max="9740" width="11.42578125" style="702"/>
    <col min="9741" max="9741" width="4.7109375" style="702" customWidth="1"/>
    <col min="9742" max="9742" width="17.7109375" style="702" customWidth="1"/>
    <col min="9743" max="9743" width="35.7109375" style="702" customWidth="1"/>
    <col min="9744" max="9744" width="38.7109375" style="702" customWidth="1"/>
    <col min="9745" max="9745" width="36.28515625" style="702" customWidth="1"/>
    <col min="9746" max="9746" width="34.5703125" style="702" customWidth="1"/>
    <col min="9747" max="9747" width="0" style="702" hidden="1" customWidth="1"/>
    <col min="9748" max="9748" width="6.28515625" style="702" bestFit="1" customWidth="1"/>
    <col min="9749" max="9749" width="6.42578125" style="702" bestFit="1" customWidth="1"/>
    <col min="9750" max="9751" width="5.28515625" style="702" bestFit="1" customWidth="1"/>
    <col min="9752" max="9996" width="11.42578125" style="702"/>
    <col min="9997" max="9997" width="4.7109375" style="702" customWidth="1"/>
    <col min="9998" max="9998" width="17.7109375" style="702" customWidth="1"/>
    <col min="9999" max="9999" width="35.7109375" style="702" customWidth="1"/>
    <col min="10000" max="10000" width="38.7109375" style="702" customWidth="1"/>
    <col min="10001" max="10001" width="36.28515625" style="702" customWidth="1"/>
    <col min="10002" max="10002" width="34.5703125" style="702" customWidth="1"/>
    <col min="10003" max="10003" width="0" style="702" hidden="1" customWidth="1"/>
    <col min="10004" max="10004" width="6.28515625" style="702" bestFit="1" customWidth="1"/>
    <col min="10005" max="10005" width="6.42578125" style="702" bestFit="1" customWidth="1"/>
    <col min="10006" max="10007" width="5.28515625" style="702" bestFit="1" customWidth="1"/>
    <col min="10008" max="10252" width="11.42578125" style="702"/>
    <col min="10253" max="10253" width="4.7109375" style="702" customWidth="1"/>
    <col min="10254" max="10254" width="17.7109375" style="702" customWidth="1"/>
    <col min="10255" max="10255" width="35.7109375" style="702" customWidth="1"/>
    <col min="10256" max="10256" width="38.7109375" style="702" customWidth="1"/>
    <col min="10257" max="10257" width="36.28515625" style="702" customWidth="1"/>
    <col min="10258" max="10258" width="34.5703125" style="702" customWidth="1"/>
    <col min="10259" max="10259" width="0" style="702" hidden="1" customWidth="1"/>
    <col min="10260" max="10260" width="6.28515625" style="702" bestFit="1" customWidth="1"/>
    <col min="10261" max="10261" width="6.42578125" style="702" bestFit="1" customWidth="1"/>
    <col min="10262" max="10263" width="5.28515625" style="702" bestFit="1" customWidth="1"/>
    <col min="10264" max="10508" width="11.42578125" style="702"/>
    <col min="10509" max="10509" width="4.7109375" style="702" customWidth="1"/>
    <col min="10510" max="10510" width="17.7109375" style="702" customWidth="1"/>
    <col min="10511" max="10511" width="35.7109375" style="702" customWidth="1"/>
    <col min="10512" max="10512" width="38.7109375" style="702" customWidth="1"/>
    <col min="10513" max="10513" width="36.28515625" style="702" customWidth="1"/>
    <col min="10514" max="10514" width="34.5703125" style="702" customWidth="1"/>
    <col min="10515" max="10515" width="0" style="702" hidden="1" customWidth="1"/>
    <col min="10516" max="10516" width="6.28515625" style="702" bestFit="1" customWidth="1"/>
    <col min="10517" max="10517" width="6.42578125" style="702" bestFit="1" customWidth="1"/>
    <col min="10518" max="10519" width="5.28515625" style="702" bestFit="1" customWidth="1"/>
    <col min="10520" max="10764" width="11.42578125" style="702"/>
    <col min="10765" max="10765" width="4.7109375" style="702" customWidth="1"/>
    <col min="10766" max="10766" width="17.7109375" style="702" customWidth="1"/>
    <col min="10767" max="10767" width="35.7109375" style="702" customWidth="1"/>
    <col min="10768" max="10768" width="38.7109375" style="702" customWidth="1"/>
    <col min="10769" max="10769" width="36.28515625" style="702" customWidth="1"/>
    <col min="10770" max="10770" width="34.5703125" style="702" customWidth="1"/>
    <col min="10771" max="10771" width="0" style="702" hidden="1" customWidth="1"/>
    <col min="10772" max="10772" width="6.28515625" style="702" bestFit="1" customWidth="1"/>
    <col min="10773" max="10773" width="6.42578125" style="702" bestFit="1" customWidth="1"/>
    <col min="10774" max="10775" width="5.28515625" style="702" bestFit="1" customWidth="1"/>
    <col min="10776" max="11020" width="11.42578125" style="702"/>
    <col min="11021" max="11021" width="4.7109375" style="702" customWidth="1"/>
    <col min="11022" max="11022" width="17.7109375" style="702" customWidth="1"/>
    <col min="11023" max="11023" width="35.7109375" style="702" customWidth="1"/>
    <col min="11024" max="11024" width="38.7109375" style="702" customWidth="1"/>
    <col min="11025" max="11025" width="36.28515625" style="702" customWidth="1"/>
    <col min="11026" max="11026" width="34.5703125" style="702" customWidth="1"/>
    <col min="11027" max="11027" width="0" style="702" hidden="1" customWidth="1"/>
    <col min="11028" max="11028" width="6.28515625" style="702" bestFit="1" customWidth="1"/>
    <col min="11029" max="11029" width="6.42578125" style="702" bestFit="1" customWidth="1"/>
    <col min="11030" max="11031" width="5.28515625" style="702" bestFit="1" customWidth="1"/>
    <col min="11032" max="11276" width="11.42578125" style="702"/>
    <col min="11277" max="11277" width="4.7109375" style="702" customWidth="1"/>
    <col min="11278" max="11278" width="17.7109375" style="702" customWidth="1"/>
    <col min="11279" max="11279" width="35.7109375" style="702" customWidth="1"/>
    <col min="11280" max="11280" width="38.7109375" style="702" customWidth="1"/>
    <col min="11281" max="11281" width="36.28515625" style="702" customWidth="1"/>
    <col min="11282" max="11282" width="34.5703125" style="702" customWidth="1"/>
    <col min="11283" max="11283" width="0" style="702" hidden="1" customWidth="1"/>
    <col min="11284" max="11284" width="6.28515625" style="702" bestFit="1" customWidth="1"/>
    <col min="11285" max="11285" width="6.42578125" style="702" bestFit="1" customWidth="1"/>
    <col min="11286" max="11287" width="5.28515625" style="702" bestFit="1" customWidth="1"/>
    <col min="11288" max="11532" width="11.42578125" style="702"/>
    <col min="11533" max="11533" width="4.7109375" style="702" customWidth="1"/>
    <col min="11534" max="11534" width="17.7109375" style="702" customWidth="1"/>
    <col min="11535" max="11535" width="35.7109375" style="702" customWidth="1"/>
    <col min="11536" max="11536" width="38.7109375" style="702" customWidth="1"/>
    <col min="11537" max="11537" width="36.28515625" style="702" customWidth="1"/>
    <col min="11538" max="11538" width="34.5703125" style="702" customWidth="1"/>
    <col min="11539" max="11539" width="0" style="702" hidden="1" customWidth="1"/>
    <col min="11540" max="11540" width="6.28515625" style="702" bestFit="1" customWidth="1"/>
    <col min="11541" max="11541" width="6.42578125" style="702" bestFit="1" customWidth="1"/>
    <col min="11542" max="11543" width="5.28515625" style="702" bestFit="1" customWidth="1"/>
    <col min="11544" max="11788" width="11.42578125" style="702"/>
    <col min="11789" max="11789" width="4.7109375" style="702" customWidth="1"/>
    <col min="11790" max="11790" width="17.7109375" style="702" customWidth="1"/>
    <col min="11791" max="11791" width="35.7109375" style="702" customWidth="1"/>
    <col min="11792" max="11792" width="38.7109375" style="702" customWidth="1"/>
    <col min="11793" max="11793" width="36.28515625" style="702" customWidth="1"/>
    <col min="11794" max="11794" width="34.5703125" style="702" customWidth="1"/>
    <col min="11795" max="11795" width="0" style="702" hidden="1" customWidth="1"/>
    <col min="11796" max="11796" width="6.28515625" style="702" bestFit="1" customWidth="1"/>
    <col min="11797" max="11797" width="6.42578125" style="702" bestFit="1" customWidth="1"/>
    <col min="11798" max="11799" width="5.28515625" style="702" bestFit="1" customWidth="1"/>
    <col min="11800" max="12044" width="11.42578125" style="702"/>
    <col min="12045" max="12045" width="4.7109375" style="702" customWidth="1"/>
    <col min="12046" max="12046" width="17.7109375" style="702" customWidth="1"/>
    <col min="12047" max="12047" width="35.7109375" style="702" customWidth="1"/>
    <col min="12048" max="12048" width="38.7109375" style="702" customWidth="1"/>
    <col min="12049" max="12049" width="36.28515625" style="702" customWidth="1"/>
    <col min="12050" max="12050" width="34.5703125" style="702" customWidth="1"/>
    <col min="12051" max="12051" width="0" style="702" hidden="1" customWidth="1"/>
    <col min="12052" max="12052" width="6.28515625" style="702" bestFit="1" customWidth="1"/>
    <col min="12053" max="12053" width="6.42578125" style="702" bestFit="1" customWidth="1"/>
    <col min="12054" max="12055" width="5.28515625" style="702" bestFit="1" customWidth="1"/>
    <col min="12056" max="12300" width="11.42578125" style="702"/>
    <col min="12301" max="12301" width="4.7109375" style="702" customWidth="1"/>
    <col min="12302" max="12302" width="17.7109375" style="702" customWidth="1"/>
    <col min="12303" max="12303" width="35.7109375" style="702" customWidth="1"/>
    <col min="12304" max="12304" width="38.7109375" style="702" customWidth="1"/>
    <col min="12305" max="12305" width="36.28515625" style="702" customWidth="1"/>
    <col min="12306" max="12306" width="34.5703125" style="702" customWidth="1"/>
    <col min="12307" max="12307" width="0" style="702" hidden="1" customWidth="1"/>
    <col min="12308" max="12308" width="6.28515625" style="702" bestFit="1" customWidth="1"/>
    <col min="12309" max="12309" width="6.42578125" style="702" bestFit="1" customWidth="1"/>
    <col min="12310" max="12311" width="5.28515625" style="702" bestFit="1" customWidth="1"/>
    <col min="12312" max="12556" width="11.42578125" style="702"/>
    <col min="12557" max="12557" width="4.7109375" style="702" customWidth="1"/>
    <col min="12558" max="12558" width="17.7109375" style="702" customWidth="1"/>
    <col min="12559" max="12559" width="35.7109375" style="702" customWidth="1"/>
    <col min="12560" max="12560" width="38.7109375" style="702" customWidth="1"/>
    <col min="12561" max="12561" width="36.28515625" style="702" customWidth="1"/>
    <col min="12562" max="12562" width="34.5703125" style="702" customWidth="1"/>
    <col min="12563" max="12563" width="0" style="702" hidden="1" customWidth="1"/>
    <col min="12564" max="12564" width="6.28515625" style="702" bestFit="1" customWidth="1"/>
    <col min="12565" max="12565" width="6.42578125" style="702" bestFit="1" customWidth="1"/>
    <col min="12566" max="12567" width="5.28515625" style="702" bestFit="1" customWidth="1"/>
    <col min="12568" max="12812" width="11.42578125" style="702"/>
    <col min="12813" max="12813" width="4.7109375" style="702" customWidth="1"/>
    <col min="12814" max="12814" width="17.7109375" style="702" customWidth="1"/>
    <col min="12815" max="12815" width="35.7109375" style="702" customWidth="1"/>
    <col min="12816" max="12816" width="38.7109375" style="702" customWidth="1"/>
    <col min="12817" max="12817" width="36.28515625" style="702" customWidth="1"/>
    <col min="12818" max="12818" width="34.5703125" style="702" customWidth="1"/>
    <col min="12819" max="12819" width="0" style="702" hidden="1" customWidth="1"/>
    <col min="12820" max="12820" width="6.28515625" style="702" bestFit="1" customWidth="1"/>
    <col min="12821" max="12821" width="6.42578125" style="702" bestFit="1" customWidth="1"/>
    <col min="12822" max="12823" width="5.28515625" style="702" bestFit="1" customWidth="1"/>
    <col min="12824" max="13068" width="11.42578125" style="702"/>
    <col min="13069" max="13069" width="4.7109375" style="702" customWidth="1"/>
    <col min="13070" max="13070" width="17.7109375" style="702" customWidth="1"/>
    <col min="13071" max="13071" width="35.7109375" style="702" customWidth="1"/>
    <col min="13072" max="13072" width="38.7109375" style="702" customWidth="1"/>
    <col min="13073" max="13073" width="36.28515625" style="702" customWidth="1"/>
    <col min="13074" max="13074" width="34.5703125" style="702" customWidth="1"/>
    <col min="13075" max="13075" width="0" style="702" hidden="1" customWidth="1"/>
    <col min="13076" max="13076" width="6.28515625" style="702" bestFit="1" customWidth="1"/>
    <col min="13077" max="13077" width="6.42578125" style="702" bestFit="1" customWidth="1"/>
    <col min="13078" max="13079" width="5.28515625" style="702" bestFit="1" customWidth="1"/>
    <col min="13080" max="13324" width="11.42578125" style="702"/>
    <col min="13325" max="13325" width="4.7109375" style="702" customWidth="1"/>
    <col min="13326" max="13326" width="17.7109375" style="702" customWidth="1"/>
    <col min="13327" max="13327" width="35.7109375" style="702" customWidth="1"/>
    <col min="13328" max="13328" width="38.7109375" style="702" customWidth="1"/>
    <col min="13329" max="13329" width="36.28515625" style="702" customWidth="1"/>
    <col min="13330" max="13330" width="34.5703125" style="702" customWidth="1"/>
    <col min="13331" max="13331" width="0" style="702" hidden="1" customWidth="1"/>
    <col min="13332" max="13332" width="6.28515625" style="702" bestFit="1" customWidth="1"/>
    <col min="13333" max="13333" width="6.42578125" style="702" bestFit="1" customWidth="1"/>
    <col min="13334" max="13335" width="5.28515625" style="702" bestFit="1" customWidth="1"/>
    <col min="13336" max="13580" width="11.42578125" style="702"/>
    <col min="13581" max="13581" width="4.7109375" style="702" customWidth="1"/>
    <col min="13582" max="13582" width="17.7109375" style="702" customWidth="1"/>
    <col min="13583" max="13583" width="35.7109375" style="702" customWidth="1"/>
    <col min="13584" max="13584" width="38.7109375" style="702" customWidth="1"/>
    <col min="13585" max="13585" width="36.28515625" style="702" customWidth="1"/>
    <col min="13586" max="13586" width="34.5703125" style="702" customWidth="1"/>
    <col min="13587" max="13587" width="0" style="702" hidden="1" customWidth="1"/>
    <col min="13588" max="13588" width="6.28515625" style="702" bestFit="1" customWidth="1"/>
    <col min="13589" max="13589" width="6.42578125" style="702" bestFit="1" customWidth="1"/>
    <col min="13590" max="13591" width="5.28515625" style="702" bestFit="1" customWidth="1"/>
    <col min="13592" max="13836" width="11.42578125" style="702"/>
    <col min="13837" max="13837" width="4.7109375" style="702" customWidth="1"/>
    <col min="13838" max="13838" width="17.7109375" style="702" customWidth="1"/>
    <col min="13839" max="13839" width="35.7109375" style="702" customWidth="1"/>
    <col min="13840" max="13840" width="38.7109375" style="702" customWidth="1"/>
    <col min="13841" max="13841" width="36.28515625" style="702" customWidth="1"/>
    <col min="13842" max="13842" width="34.5703125" style="702" customWidth="1"/>
    <col min="13843" max="13843" width="0" style="702" hidden="1" customWidth="1"/>
    <col min="13844" max="13844" width="6.28515625" style="702" bestFit="1" customWidth="1"/>
    <col min="13845" max="13845" width="6.42578125" style="702" bestFit="1" customWidth="1"/>
    <col min="13846" max="13847" width="5.28515625" style="702" bestFit="1" customWidth="1"/>
    <col min="13848" max="14092" width="11.42578125" style="702"/>
    <col min="14093" max="14093" width="4.7109375" style="702" customWidth="1"/>
    <col min="14094" max="14094" width="17.7109375" style="702" customWidth="1"/>
    <col min="14095" max="14095" width="35.7109375" style="702" customWidth="1"/>
    <col min="14096" max="14096" width="38.7109375" style="702" customWidth="1"/>
    <col min="14097" max="14097" width="36.28515625" style="702" customWidth="1"/>
    <col min="14098" max="14098" width="34.5703125" style="702" customWidth="1"/>
    <col min="14099" max="14099" width="0" style="702" hidden="1" customWidth="1"/>
    <col min="14100" max="14100" width="6.28515625" style="702" bestFit="1" customWidth="1"/>
    <col min="14101" max="14101" width="6.42578125" style="702" bestFit="1" customWidth="1"/>
    <col min="14102" max="14103" width="5.28515625" style="702" bestFit="1" customWidth="1"/>
    <col min="14104" max="14348" width="11.42578125" style="702"/>
    <col min="14349" max="14349" width="4.7109375" style="702" customWidth="1"/>
    <col min="14350" max="14350" width="17.7109375" style="702" customWidth="1"/>
    <col min="14351" max="14351" width="35.7109375" style="702" customWidth="1"/>
    <col min="14352" max="14352" width="38.7109375" style="702" customWidth="1"/>
    <col min="14353" max="14353" width="36.28515625" style="702" customWidth="1"/>
    <col min="14354" max="14354" width="34.5703125" style="702" customWidth="1"/>
    <col min="14355" max="14355" width="0" style="702" hidden="1" customWidth="1"/>
    <col min="14356" max="14356" width="6.28515625" style="702" bestFit="1" customWidth="1"/>
    <col min="14357" max="14357" width="6.42578125" style="702" bestFit="1" customWidth="1"/>
    <col min="14358" max="14359" width="5.28515625" style="702" bestFit="1" customWidth="1"/>
    <col min="14360" max="14604" width="11.42578125" style="702"/>
    <col min="14605" max="14605" width="4.7109375" style="702" customWidth="1"/>
    <col min="14606" max="14606" width="17.7109375" style="702" customWidth="1"/>
    <col min="14607" max="14607" width="35.7109375" style="702" customWidth="1"/>
    <col min="14608" max="14608" width="38.7109375" style="702" customWidth="1"/>
    <col min="14609" max="14609" width="36.28515625" style="702" customWidth="1"/>
    <col min="14610" max="14610" width="34.5703125" style="702" customWidth="1"/>
    <col min="14611" max="14611" width="0" style="702" hidden="1" customWidth="1"/>
    <col min="14612" max="14612" width="6.28515625" style="702" bestFit="1" customWidth="1"/>
    <col min="14613" max="14613" width="6.42578125" style="702" bestFit="1" customWidth="1"/>
    <col min="14614" max="14615" width="5.28515625" style="702" bestFit="1" customWidth="1"/>
    <col min="14616" max="14860" width="11.42578125" style="702"/>
    <col min="14861" max="14861" width="4.7109375" style="702" customWidth="1"/>
    <col min="14862" max="14862" width="17.7109375" style="702" customWidth="1"/>
    <col min="14863" max="14863" width="35.7109375" style="702" customWidth="1"/>
    <col min="14864" max="14864" width="38.7109375" style="702" customWidth="1"/>
    <col min="14865" max="14865" width="36.28515625" style="702" customWidth="1"/>
    <col min="14866" max="14866" width="34.5703125" style="702" customWidth="1"/>
    <col min="14867" max="14867" width="0" style="702" hidden="1" customWidth="1"/>
    <col min="14868" max="14868" width="6.28515625" style="702" bestFit="1" customWidth="1"/>
    <col min="14869" max="14869" width="6.42578125" style="702" bestFit="1" customWidth="1"/>
    <col min="14870" max="14871" width="5.28515625" style="702" bestFit="1" customWidth="1"/>
    <col min="14872" max="15116" width="11.42578125" style="702"/>
    <col min="15117" max="15117" width="4.7109375" style="702" customWidth="1"/>
    <col min="15118" max="15118" width="17.7109375" style="702" customWidth="1"/>
    <col min="15119" max="15119" width="35.7109375" style="702" customWidth="1"/>
    <col min="15120" max="15120" width="38.7109375" style="702" customWidth="1"/>
    <col min="15121" max="15121" width="36.28515625" style="702" customWidth="1"/>
    <col min="15122" max="15122" width="34.5703125" style="702" customWidth="1"/>
    <col min="15123" max="15123" width="0" style="702" hidden="1" customWidth="1"/>
    <col min="15124" max="15124" width="6.28515625" style="702" bestFit="1" customWidth="1"/>
    <col min="15125" max="15125" width="6.42578125" style="702" bestFit="1" customWidth="1"/>
    <col min="15126" max="15127" width="5.28515625" style="702" bestFit="1" customWidth="1"/>
    <col min="15128" max="15372" width="11.42578125" style="702"/>
    <col min="15373" max="15373" width="4.7109375" style="702" customWidth="1"/>
    <col min="15374" max="15374" width="17.7109375" style="702" customWidth="1"/>
    <col min="15375" max="15375" width="35.7109375" style="702" customWidth="1"/>
    <col min="15376" max="15376" width="38.7109375" style="702" customWidth="1"/>
    <col min="15377" max="15377" width="36.28515625" style="702" customWidth="1"/>
    <col min="15378" max="15378" width="34.5703125" style="702" customWidth="1"/>
    <col min="15379" max="15379" width="0" style="702" hidden="1" customWidth="1"/>
    <col min="15380" max="15380" width="6.28515625" style="702" bestFit="1" customWidth="1"/>
    <col min="15381" max="15381" width="6.42578125" style="702" bestFit="1" customWidth="1"/>
    <col min="15382" max="15383" width="5.28515625" style="702" bestFit="1" customWidth="1"/>
    <col min="15384" max="15628" width="11.42578125" style="702"/>
    <col min="15629" max="15629" width="4.7109375" style="702" customWidth="1"/>
    <col min="15630" max="15630" width="17.7109375" style="702" customWidth="1"/>
    <col min="15631" max="15631" width="35.7109375" style="702" customWidth="1"/>
    <col min="15632" max="15632" width="38.7109375" style="702" customWidth="1"/>
    <col min="15633" max="15633" width="36.28515625" style="702" customWidth="1"/>
    <col min="15634" max="15634" width="34.5703125" style="702" customWidth="1"/>
    <col min="15635" max="15635" width="0" style="702" hidden="1" customWidth="1"/>
    <col min="15636" max="15636" width="6.28515625" style="702" bestFit="1" customWidth="1"/>
    <col min="15637" max="15637" width="6.42578125" style="702" bestFit="1" customWidth="1"/>
    <col min="15638" max="15639" width="5.28515625" style="702" bestFit="1" customWidth="1"/>
    <col min="15640" max="15884" width="11.42578125" style="702"/>
    <col min="15885" max="15885" width="4.7109375" style="702" customWidth="1"/>
    <col min="15886" max="15886" width="17.7109375" style="702" customWidth="1"/>
    <col min="15887" max="15887" width="35.7109375" style="702" customWidth="1"/>
    <col min="15888" max="15888" width="38.7109375" style="702" customWidth="1"/>
    <col min="15889" max="15889" width="36.28515625" style="702" customWidth="1"/>
    <col min="15890" max="15890" width="34.5703125" style="702" customWidth="1"/>
    <col min="15891" max="15891" width="0" style="702" hidden="1" customWidth="1"/>
    <col min="15892" max="15892" width="6.28515625" style="702" bestFit="1" customWidth="1"/>
    <col min="15893" max="15893" width="6.42578125" style="702" bestFit="1" customWidth="1"/>
    <col min="15894" max="15895" width="5.28515625" style="702" bestFit="1" customWidth="1"/>
    <col min="15896" max="16140" width="11.42578125" style="702"/>
    <col min="16141" max="16141" width="4.7109375" style="702" customWidth="1"/>
    <col min="16142" max="16142" width="17.7109375" style="702" customWidth="1"/>
    <col min="16143" max="16143" width="35.7109375" style="702" customWidth="1"/>
    <col min="16144" max="16144" width="38.7109375" style="702" customWidth="1"/>
    <col min="16145" max="16145" width="36.28515625" style="702" customWidth="1"/>
    <col min="16146" max="16146" width="34.5703125" style="702" customWidth="1"/>
    <col min="16147" max="16147" width="0" style="702" hidden="1" customWidth="1"/>
    <col min="16148" max="16148" width="6.28515625" style="702" bestFit="1" customWidth="1"/>
    <col min="16149" max="16149" width="6.42578125" style="702" bestFit="1" customWidth="1"/>
    <col min="16150" max="16151" width="5.28515625" style="702" bestFit="1" customWidth="1"/>
    <col min="16152" max="16384" width="11.42578125" style="702"/>
  </cols>
  <sheetData>
    <row r="1" spans="1:40" ht="6.75" customHeight="1" thickBot="1" x14ac:dyDescent="0.25">
      <c r="A1" s="1789"/>
      <c r="B1" s="1790"/>
      <c r="C1" s="1790"/>
      <c r="D1" s="1790"/>
      <c r="E1" s="1790"/>
      <c r="F1" s="1790"/>
      <c r="G1" s="1790"/>
      <c r="H1" s="1790"/>
      <c r="I1" s="1790"/>
      <c r="J1" s="1790"/>
      <c r="K1" s="1790"/>
      <c r="L1" s="1790"/>
      <c r="M1" s="1790"/>
      <c r="N1" s="1790"/>
      <c r="O1" s="1790"/>
      <c r="P1" s="1790"/>
      <c r="Q1" s="1790"/>
      <c r="R1" s="1790"/>
      <c r="S1" s="1790"/>
      <c r="T1" s="1790"/>
      <c r="U1" s="1790"/>
      <c r="V1" s="1790"/>
      <c r="W1" s="1791"/>
    </row>
    <row r="2" spans="1:40" s="707" customFormat="1" ht="21" customHeight="1" x14ac:dyDescent="0.2">
      <c r="A2" s="1792" t="s">
        <v>1329</v>
      </c>
      <c r="B2" s="1794" t="s">
        <v>1330</v>
      </c>
      <c r="C2" s="1794" t="s">
        <v>1147</v>
      </c>
      <c r="D2" s="1796" t="s">
        <v>1150</v>
      </c>
      <c r="E2" s="1794" t="s">
        <v>1331</v>
      </c>
      <c r="F2" s="1794" t="s">
        <v>1332</v>
      </c>
      <c r="G2" s="1798" t="s">
        <v>1333</v>
      </c>
      <c r="H2" s="703" t="s">
        <v>67</v>
      </c>
      <c r="I2" s="704"/>
      <c r="J2" s="1800" t="s">
        <v>1334</v>
      </c>
      <c r="K2" s="1801"/>
      <c r="L2" s="1801"/>
      <c r="M2" s="1802"/>
      <c r="N2" s="1800" t="s">
        <v>1335</v>
      </c>
      <c r="O2" s="1801"/>
      <c r="P2" s="1801"/>
      <c r="Q2" s="1802"/>
      <c r="R2" s="1801"/>
      <c r="S2" s="1801"/>
      <c r="T2" s="1801"/>
      <c r="U2" s="1802"/>
      <c r="V2" s="705"/>
      <c r="W2" s="706"/>
      <c r="X2" s="706"/>
      <c r="Y2" s="701"/>
      <c r="Z2" s="701"/>
      <c r="AA2" s="701"/>
      <c r="AB2" s="701"/>
      <c r="AC2" s="701"/>
      <c r="AD2" s="701"/>
      <c r="AE2" s="701"/>
      <c r="AF2" s="701"/>
      <c r="AG2" s="701"/>
      <c r="AH2" s="701"/>
      <c r="AI2" s="701"/>
      <c r="AJ2" s="701"/>
      <c r="AK2" s="701"/>
      <c r="AL2" s="701"/>
      <c r="AM2" s="701"/>
      <c r="AN2" s="701"/>
    </row>
    <row r="3" spans="1:40" s="707" customFormat="1" ht="27" customHeight="1" thickBot="1" x14ac:dyDescent="0.25">
      <c r="A3" s="1793"/>
      <c r="B3" s="1795"/>
      <c r="C3" s="1795"/>
      <c r="D3" s="1797"/>
      <c r="E3" s="1795"/>
      <c r="F3" s="1795"/>
      <c r="G3" s="1799"/>
      <c r="H3" s="708">
        <v>2015</v>
      </c>
      <c r="I3" s="709">
        <v>2016</v>
      </c>
      <c r="J3" s="709">
        <v>2015</v>
      </c>
      <c r="K3" s="709">
        <v>2016</v>
      </c>
      <c r="L3" s="709">
        <v>2017</v>
      </c>
      <c r="M3" s="710">
        <v>2018</v>
      </c>
      <c r="N3" s="710">
        <v>2015</v>
      </c>
      <c r="O3" s="710">
        <v>2016</v>
      </c>
      <c r="P3" s="710">
        <v>2017</v>
      </c>
      <c r="Q3" s="710">
        <v>2018</v>
      </c>
      <c r="R3" s="841" t="s">
        <v>1336</v>
      </c>
      <c r="S3" s="841" t="s">
        <v>1337</v>
      </c>
      <c r="T3" s="841" t="s">
        <v>1338</v>
      </c>
      <c r="U3" s="841" t="s">
        <v>1339</v>
      </c>
      <c r="V3" s="842" t="s">
        <v>853</v>
      </c>
      <c r="W3" s="711">
        <v>2018</v>
      </c>
      <c r="X3" s="711" t="s">
        <v>1436</v>
      </c>
      <c r="Y3" s="701"/>
      <c r="Z3" s="701"/>
      <c r="AA3" s="701"/>
      <c r="AB3" s="701"/>
      <c r="AC3" s="701"/>
      <c r="AD3" s="701"/>
      <c r="AE3" s="701"/>
      <c r="AF3" s="701"/>
      <c r="AG3" s="701"/>
      <c r="AH3" s="701"/>
      <c r="AI3" s="701"/>
      <c r="AJ3" s="701"/>
      <c r="AK3" s="701"/>
      <c r="AL3" s="701"/>
      <c r="AM3" s="701"/>
      <c r="AN3" s="701"/>
    </row>
    <row r="4" spans="1:40" s="723" customFormat="1" ht="33.75" customHeight="1" thickBot="1" x14ac:dyDescent="0.3">
      <c r="A4" s="1779">
        <v>1</v>
      </c>
      <c r="B4" s="1782" t="s">
        <v>1340</v>
      </c>
      <c r="C4" s="1774" t="s">
        <v>1341</v>
      </c>
      <c r="D4" s="1785" t="s">
        <v>754</v>
      </c>
      <c r="E4" s="712" t="s">
        <v>755</v>
      </c>
      <c r="F4" s="712" t="s">
        <v>1342</v>
      </c>
      <c r="G4" s="713" t="s">
        <v>719</v>
      </c>
      <c r="H4" s="714">
        <v>0</v>
      </c>
      <c r="I4" s="715">
        <v>0</v>
      </c>
      <c r="J4" s="716"/>
      <c r="K4" s="716"/>
      <c r="L4" s="716">
        <v>1</v>
      </c>
      <c r="M4" s="717"/>
      <c r="N4" s="718"/>
      <c r="O4" s="719"/>
      <c r="P4" s="719"/>
      <c r="Q4" s="720">
        <f>V4</f>
        <v>0</v>
      </c>
      <c r="R4" s="843">
        <f>'PLAN ESTRATEGICO'!L2</f>
        <v>0</v>
      </c>
      <c r="S4" s="843">
        <f>'PLAN ESTRATEGICO'!M2</f>
        <v>0</v>
      </c>
      <c r="T4" s="843">
        <f>'PLAN ESTRATEGICO'!N2</f>
        <v>0</v>
      </c>
      <c r="U4" s="843">
        <f>'PLAN ESTRATEGICO'!O2</f>
        <v>0</v>
      </c>
      <c r="V4" s="843">
        <f>'PLAN ESTRATEGICO'!P2</f>
        <v>0</v>
      </c>
      <c r="W4" s="721">
        <v>1</v>
      </c>
      <c r="X4" s="721"/>
      <c r="Y4" s="722"/>
      <c r="Z4" s="722"/>
      <c r="AA4" s="722"/>
      <c r="AB4" s="722"/>
      <c r="AC4" s="722"/>
      <c r="AD4" s="722"/>
      <c r="AE4" s="722"/>
      <c r="AF4" s="722"/>
      <c r="AG4" s="722"/>
      <c r="AH4" s="722"/>
      <c r="AI4" s="722"/>
      <c r="AJ4" s="722"/>
      <c r="AK4" s="722"/>
      <c r="AL4" s="722"/>
      <c r="AM4" s="722"/>
      <c r="AN4" s="722"/>
    </row>
    <row r="5" spans="1:40" s="723" customFormat="1" ht="50.25" customHeight="1" thickBot="1" x14ac:dyDescent="0.3">
      <c r="A5" s="1780"/>
      <c r="B5" s="1783"/>
      <c r="C5" s="1775"/>
      <c r="D5" s="1786"/>
      <c r="E5" s="724" t="s">
        <v>1343</v>
      </c>
      <c r="F5" s="724" t="s">
        <v>1344</v>
      </c>
      <c r="G5" s="725" t="s">
        <v>1345</v>
      </c>
      <c r="H5" s="726">
        <v>1</v>
      </c>
      <c r="I5" s="727">
        <v>2</v>
      </c>
      <c r="J5" s="728"/>
      <c r="K5" s="728"/>
      <c r="L5" s="728">
        <v>3</v>
      </c>
      <c r="M5" s="729"/>
      <c r="N5" s="730"/>
      <c r="O5" s="731"/>
      <c r="P5" s="731"/>
      <c r="Q5" s="720">
        <f t="shared" ref="Q5:Q38" si="0">V5</f>
        <v>1.2750000000000001</v>
      </c>
      <c r="R5" s="844">
        <f>'PLAN ESTRATEGICO'!L3</f>
        <v>0.42500000000000004</v>
      </c>
      <c r="S5" s="844">
        <f>'PLAN ESTRATEGICO'!M3</f>
        <v>0</v>
      </c>
      <c r="T5" s="844">
        <f>'PLAN ESTRATEGICO'!N3</f>
        <v>0</v>
      </c>
      <c r="U5" s="844">
        <f>'PLAN ESTRATEGICO'!O3</f>
        <v>0</v>
      </c>
      <c r="V5" s="845">
        <f>'PLAN ESTRATEGICO'!P3</f>
        <v>1.2750000000000001</v>
      </c>
      <c r="W5" s="732">
        <v>3</v>
      </c>
      <c r="X5" s="732"/>
      <c r="Y5" s="722"/>
      <c r="Z5" s="722"/>
      <c r="AA5" s="722"/>
      <c r="AB5" s="722"/>
      <c r="AC5" s="722"/>
      <c r="AD5" s="722"/>
      <c r="AE5" s="722"/>
      <c r="AF5" s="722"/>
      <c r="AG5" s="722"/>
      <c r="AH5" s="722"/>
      <c r="AI5" s="722"/>
      <c r="AJ5" s="722"/>
      <c r="AK5" s="722"/>
      <c r="AL5" s="722"/>
      <c r="AM5" s="722"/>
      <c r="AN5" s="722"/>
    </row>
    <row r="6" spans="1:40" s="723" customFormat="1" ht="34.5" customHeight="1" thickBot="1" x14ac:dyDescent="0.3">
      <c r="A6" s="1780"/>
      <c r="B6" s="1783"/>
      <c r="C6" s="1775"/>
      <c r="D6" s="1786"/>
      <c r="E6" s="724" t="s">
        <v>757</v>
      </c>
      <c r="F6" s="724" t="s">
        <v>1346</v>
      </c>
      <c r="G6" s="725" t="s">
        <v>719</v>
      </c>
      <c r="H6" s="726">
        <v>0</v>
      </c>
      <c r="I6" s="727">
        <v>0</v>
      </c>
      <c r="J6" s="728"/>
      <c r="K6" s="728"/>
      <c r="L6" s="728">
        <v>3</v>
      </c>
      <c r="M6" s="729"/>
      <c r="N6" s="730"/>
      <c r="O6" s="731"/>
      <c r="P6" s="731"/>
      <c r="Q6" s="720">
        <f t="shared" si="0"/>
        <v>0.48000000000000004</v>
      </c>
      <c r="R6" s="844">
        <f>'PLAN ESTRATEGICO'!L4</f>
        <v>0.24000000000000002</v>
      </c>
      <c r="S6" s="844">
        <f>'PLAN ESTRATEGICO'!M4</f>
        <v>0</v>
      </c>
      <c r="T6" s="844">
        <f>'PLAN ESTRATEGICO'!N4</f>
        <v>0</v>
      </c>
      <c r="U6" s="844">
        <f>'PLAN ESTRATEGICO'!O4</f>
        <v>0</v>
      </c>
      <c r="V6" s="846">
        <f>'PLAN ESTRATEGICO'!P4</f>
        <v>0.48000000000000004</v>
      </c>
      <c r="W6" s="732">
        <v>2</v>
      </c>
      <c r="X6" s="732"/>
      <c r="Y6" s="722"/>
      <c r="Z6" s="722"/>
      <c r="AA6" s="722"/>
      <c r="AB6" s="722"/>
      <c r="AC6" s="722"/>
      <c r="AD6" s="722"/>
      <c r="AE6" s="722"/>
      <c r="AF6" s="722"/>
      <c r="AG6" s="722"/>
      <c r="AH6" s="722"/>
      <c r="AI6" s="722"/>
      <c r="AJ6" s="722"/>
      <c r="AK6" s="722"/>
      <c r="AL6" s="722"/>
      <c r="AM6" s="722"/>
      <c r="AN6" s="722"/>
    </row>
    <row r="7" spans="1:40" s="723" customFormat="1" ht="37.5" customHeight="1" thickBot="1" x14ac:dyDescent="0.3">
      <c r="A7" s="1780"/>
      <c r="B7" s="1783"/>
      <c r="C7" s="1775"/>
      <c r="D7" s="724" t="s">
        <v>758</v>
      </c>
      <c r="E7" s="724" t="s">
        <v>759</v>
      </c>
      <c r="F7" s="724" t="s">
        <v>1347</v>
      </c>
      <c r="G7" s="725" t="s">
        <v>719</v>
      </c>
      <c r="H7" s="726">
        <v>1</v>
      </c>
      <c r="I7" s="727">
        <v>1</v>
      </c>
      <c r="J7" s="728"/>
      <c r="K7" s="728"/>
      <c r="L7" s="728">
        <v>1</v>
      </c>
      <c r="M7" s="729"/>
      <c r="N7" s="730"/>
      <c r="O7" s="731"/>
      <c r="P7" s="731"/>
      <c r="Q7" s="720">
        <f t="shared" si="0"/>
        <v>0.49980000000000002</v>
      </c>
      <c r="R7" s="844">
        <f>'PLAN ESTRATEGICO'!L5</f>
        <v>0.24990000000000001</v>
      </c>
      <c r="S7" s="844">
        <f>'PLAN ESTRATEGICO'!M5</f>
        <v>0</v>
      </c>
      <c r="T7" s="844">
        <f>'PLAN ESTRATEGICO'!N5</f>
        <v>0</v>
      </c>
      <c r="U7" s="844">
        <f>'PLAN ESTRATEGICO'!O5</f>
        <v>0</v>
      </c>
      <c r="V7" s="845">
        <f>'PLAN ESTRATEGICO'!P5</f>
        <v>0.49980000000000002</v>
      </c>
      <c r="W7" s="732">
        <v>1</v>
      </c>
      <c r="X7" s="732"/>
      <c r="Y7" s="722"/>
      <c r="Z7" s="722"/>
      <c r="AA7" s="722"/>
      <c r="AB7" s="722"/>
      <c r="AC7" s="722"/>
      <c r="AD7" s="722"/>
      <c r="AE7" s="722"/>
      <c r="AF7" s="722"/>
      <c r="AG7" s="722"/>
      <c r="AH7" s="722"/>
      <c r="AI7" s="722"/>
      <c r="AJ7" s="722"/>
      <c r="AK7" s="722"/>
      <c r="AL7" s="722"/>
      <c r="AM7" s="722"/>
      <c r="AN7" s="722"/>
    </row>
    <row r="8" spans="1:40" s="723" customFormat="1" ht="29.25" customHeight="1" thickBot="1" x14ac:dyDescent="0.3">
      <c r="A8" s="1780"/>
      <c r="B8" s="1783"/>
      <c r="C8" s="1775"/>
      <c r="D8" s="1786" t="s">
        <v>1348</v>
      </c>
      <c r="E8" s="724" t="s">
        <v>761</v>
      </c>
      <c r="F8" s="724" t="s">
        <v>1349</v>
      </c>
      <c r="G8" s="725" t="s">
        <v>1345</v>
      </c>
      <c r="H8" s="726">
        <v>12</v>
      </c>
      <c r="I8" s="727">
        <v>24</v>
      </c>
      <c r="J8" s="728"/>
      <c r="K8" s="728"/>
      <c r="L8" s="728">
        <v>32</v>
      </c>
      <c r="M8" s="729"/>
      <c r="N8" s="730"/>
      <c r="O8" s="731"/>
      <c r="P8" s="731"/>
      <c r="Q8" s="720">
        <f t="shared" si="0"/>
        <v>7</v>
      </c>
      <c r="R8" s="847">
        <f>'PLAN ESTRATEGICO'!L6</f>
        <v>7</v>
      </c>
      <c r="S8" s="847">
        <f>'PLAN ESTRATEGICO'!M6</f>
        <v>0</v>
      </c>
      <c r="T8" s="847">
        <f>'PLAN ESTRATEGICO'!N6</f>
        <v>0</v>
      </c>
      <c r="U8" s="847">
        <f>'PLAN ESTRATEGICO'!O6</f>
        <v>0</v>
      </c>
      <c r="V8" s="847">
        <f>'PLAN ESTRATEGICO'!P6</f>
        <v>7</v>
      </c>
      <c r="W8" s="732">
        <v>32</v>
      </c>
      <c r="X8" s="732"/>
      <c r="Y8" s="722"/>
      <c r="Z8" s="722"/>
      <c r="AA8" s="722"/>
      <c r="AB8" s="722"/>
      <c r="AC8" s="722"/>
      <c r="AD8" s="722"/>
      <c r="AE8" s="722"/>
      <c r="AF8" s="722"/>
      <c r="AG8" s="722"/>
      <c r="AH8" s="722"/>
      <c r="AI8" s="722"/>
      <c r="AJ8" s="722"/>
      <c r="AK8" s="722"/>
      <c r="AL8" s="722"/>
      <c r="AM8" s="722"/>
      <c r="AN8" s="722"/>
    </row>
    <row r="9" spans="1:40" s="723" customFormat="1" ht="34.5" customHeight="1" thickBot="1" x14ac:dyDescent="0.3">
      <c r="A9" s="1780"/>
      <c r="B9" s="1783"/>
      <c r="C9" s="1775"/>
      <c r="D9" s="1786"/>
      <c r="E9" s="724" t="s">
        <v>763</v>
      </c>
      <c r="F9" s="724" t="s">
        <v>1350</v>
      </c>
      <c r="G9" s="725" t="s">
        <v>1345</v>
      </c>
      <c r="H9" s="726">
        <v>1</v>
      </c>
      <c r="I9" s="727">
        <v>1</v>
      </c>
      <c r="J9" s="728"/>
      <c r="K9" s="728"/>
      <c r="L9" s="728">
        <v>1</v>
      </c>
      <c r="M9" s="729"/>
      <c r="N9" s="730"/>
      <c r="O9" s="731"/>
      <c r="P9" s="731"/>
      <c r="Q9" s="720">
        <f t="shared" si="0"/>
        <v>0</v>
      </c>
      <c r="R9" s="847">
        <f>'PLAN ESTRATEGICO'!L7</f>
        <v>0</v>
      </c>
      <c r="S9" s="847">
        <f>'PLAN ESTRATEGICO'!M7</f>
        <v>0</v>
      </c>
      <c r="T9" s="847">
        <f>'PLAN ESTRATEGICO'!N7</f>
        <v>0</v>
      </c>
      <c r="U9" s="847">
        <f>'PLAN ESTRATEGICO'!O7</f>
        <v>0</v>
      </c>
      <c r="V9" s="847">
        <f>'PLAN ESTRATEGICO'!P7</f>
        <v>0</v>
      </c>
      <c r="W9" s="732">
        <v>1</v>
      </c>
      <c r="X9" s="732"/>
      <c r="Y9" s="722"/>
      <c r="Z9" s="722"/>
      <c r="AA9" s="722"/>
      <c r="AB9" s="722"/>
      <c r="AC9" s="722"/>
      <c r="AD9" s="722"/>
      <c r="AE9" s="722"/>
      <c r="AF9" s="722"/>
      <c r="AG9" s="722"/>
      <c r="AH9" s="722"/>
      <c r="AI9" s="722"/>
      <c r="AJ9" s="722"/>
      <c r="AK9" s="722"/>
      <c r="AL9" s="722"/>
      <c r="AM9" s="722"/>
      <c r="AN9" s="722"/>
    </row>
    <row r="10" spans="1:40" s="723" customFormat="1" ht="36.75" customHeight="1" thickBot="1" x14ac:dyDescent="0.3">
      <c r="A10" s="1780"/>
      <c r="B10" s="1783"/>
      <c r="C10" s="1775"/>
      <c r="D10" s="733" t="s">
        <v>1351</v>
      </c>
      <c r="E10" s="724" t="s">
        <v>767</v>
      </c>
      <c r="F10" s="724" t="s">
        <v>812</v>
      </c>
      <c r="G10" s="725" t="s">
        <v>1352</v>
      </c>
      <c r="H10" s="734">
        <v>0.1</v>
      </c>
      <c r="I10" s="735">
        <v>0.4</v>
      </c>
      <c r="J10" s="736"/>
      <c r="K10" s="736"/>
      <c r="L10" s="736">
        <v>0.2</v>
      </c>
      <c r="M10" s="737"/>
      <c r="N10" s="738"/>
      <c r="O10" s="739"/>
      <c r="P10" s="739"/>
      <c r="Q10" s="720">
        <f t="shared" si="0"/>
        <v>0.122</v>
      </c>
      <c r="R10" s="844">
        <f>'PLAN ESTRATEGICO'!L8</f>
        <v>0.122</v>
      </c>
      <c r="S10" s="844">
        <f>'PLAN ESTRATEGICO'!M8</f>
        <v>0</v>
      </c>
      <c r="T10" s="844">
        <f>'PLAN ESTRATEGICO'!N8</f>
        <v>0</v>
      </c>
      <c r="U10" s="844">
        <f>'PLAN ESTRATEGICO'!O8</f>
        <v>0</v>
      </c>
      <c r="V10" s="844">
        <f>'PLAN ESTRATEGICO'!P8</f>
        <v>0.122</v>
      </c>
      <c r="W10" s="740">
        <v>0.2</v>
      </c>
      <c r="X10" s="740"/>
      <c r="Y10" s="722"/>
      <c r="Z10" s="722"/>
      <c r="AA10" s="722"/>
      <c r="AB10" s="722"/>
      <c r="AC10" s="722"/>
      <c r="AD10" s="722"/>
      <c r="AE10" s="722"/>
      <c r="AF10" s="722"/>
      <c r="AG10" s="722"/>
      <c r="AH10" s="722"/>
      <c r="AI10" s="722"/>
      <c r="AJ10" s="722"/>
      <c r="AK10" s="722"/>
      <c r="AL10" s="722"/>
      <c r="AM10" s="722"/>
      <c r="AN10" s="722"/>
    </row>
    <row r="11" spans="1:40" s="723" customFormat="1" ht="45" customHeight="1" thickBot="1" x14ac:dyDescent="0.3">
      <c r="A11" s="1780"/>
      <c r="B11" s="1783"/>
      <c r="C11" s="1775"/>
      <c r="D11" s="733" t="s">
        <v>1353</v>
      </c>
      <c r="E11" s="724" t="s">
        <v>769</v>
      </c>
      <c r="F11" s="724" t="s">
        <v>770</v>
      </c>
      <c r="G11" s="725" t="s">
        <v>1352</v>
      </c>
      <c r="H11" s="726">
        <v>1</v>
      </c>
      <c r="I11" s="727">
        <v>1</v>
      </c>
      <c r="J11" s="728"/>
      <c r="K11" s="728"/>
      <c r="L11" s="728">
        <v>1</v>
      </c>
      <c r="M11" s="729"/>
      <c r="N11" s="730"/>
      <c r="O11" s="731"/>
      <c r="P11" s="731"/>
      <c r="Q11" s="720">
        <f t="shared" si="0"/>
        <v>0.23091916548039979</v>
      </c>
      <c r="R11" s="844">
        <f>'PLAN ESTRATEGICO'!L9</f>
        <v>0.23091916548039979</v>
      </c>
      <c r="S11" s="844">
        <f>'PLAN ESTRATEGICO'!M9</f>
        <v>0</v>
      </c>
      <c r="T11" s="844">
        <f>'PLAN ESTRATEGICO'!N9</f>
        <v>0</v>
      </c>
      <c r="U11" s="844">
        <f>'PLAN ESTRATEGICO'!O9</f>
        <v>0</v>
      </c>
      <c r="V11" s="848">
        <f>'PLAN ESTRATEGICO'!P9</f>
        <v>0.23091916548039979</v>
      </c>
      <c r="W11" s="732">
        <v>1</v>
      </c>
      <c r="X11" s="732"/>
      <c r="Y11" s="722"/>
      <c r="Z11" s="722"/>
      <c r="AA11" s="722"/>
      <c r="AB11" s="722"/>
      <c r="AC11" s="722"/>
      <c r="AD11" s="722"/>
      <c r="AE11" s="722"/>
      <c r="AF11" s="722"/>
      <c r="AG11" s="722"/>
      <c r="AH11" s="722"/>
      <c r="AI11" s="722"/>
      <c r="AJ11" s="722"/>
      <c r="AK11" s="722"/>
      <c r="AL11" s="722"/>
      <c r="AM11" s="722"/>
      <c r="AN11" s="722"/>
    </row>
    <row r="12" spans="1:40" s="723" customFormat="1" ht="40.5" customHeight="1" thickBot="1" x14ac:dyDescent="0.3">
      <c r="A12" s="1780"/>
      <c r="B12" s="1783"/>
      <c r="C12" s="1775"/>
      <c r="D12" s="724" t="s">
        <v>1354</v>
      </c>
      <c r="E12" s="724" t="s">
        <v>772</v>
      </c>
      <c r="F12" s="724" t="s">
        <v>773</v>
      </c>
      <c r="G12" s="725" t="s">
        <v>1352</v>
      </c>
      <c r="H12" s="726">
        <v>0</v>
      </c>
      <c r="I12" s="727">
        <v>1</v>
      </c>
      <c r="J12" s="728"/>
      <c r="K12" s="728"/>
      <c r="L12" s="728">
        <v>0</v>
      </c>
      <c r="M12" s="729"/>
      <c r="N12" s="730"/>
      <c r="O12" s="731"/>
      <c r="P12" s="731"/>
      <c r="Q12" s="720">
        <f t="shared" si="0"/>
        <v>0</v>
      </c>
      <c r="R12" s="847">
        <f>'PLAN ESTRATEGICO'!L10</f>
        <v>0</v>
      </c>
      <c r="S12" s="847">
        <f>'PLAN ESTRATEGICO'!M10</f>
        <v>0</v>
      </c>
      <c r="T12" s="847">
        <f>'PLAN ESTRATEGICO'!N10</f>
        <v>0</v>
      </c>
      <c r="U12" s="847">
        <f>'PLAN ESTRATEGICO'!O10</f>
        <v>0</v>
      </c>
      <c r="V12" s="847">
        <f>'PLAN ESTRATEGICO'!P10</f>
        <v>0</v>
      </c>
      <c r="W12" s="732">
        <v>0</v>
      </c>
      <c r="X12" s="732"/>
      <c r="Y12" s="722"/>
      <c r="Z12" s="722"/>
      <c r="AA12" s="722"/>
      <c r="AB12" s="722"/>
      <c r="AC12" s="722"/>
      <c r="AD12" s="722"/>
      <c r="AE12" s="722"/>
      <c r="AF12" s="722"/>
      <c r="AG12" s="722"/>
      <c r="AH12" s="722"/>
      <c r="AI12" s="722"/>
      <c r="AJ12" s="722"/>
      <c r="AK12" s="722"/>
      <c r="AL12" s="722"/>
      <c r="AM12" s="722"/>
      <c r="AN12" s="722"/>
    </row>
    <row r="13" spans="1:40" s="723" customFormat="1" ht="42.75" customHeight="1" thickBot="1" x14ac:dyDescent="0.3">
      <c r="A13" s="1780"/>
      <c r="B13" s="1783"/>
      <c r="C13" s="1769" t="s">
        <v>1355</v>
      </c>
      <c r="D13" s="724" t="s">
        <v>1356</v>
      </c>
      <c r="E13" s="724" t="s">
        <v>778</v>
      </c>
      <c r="F13" s="724" t="s">
        <v>779</v>
      </c>
      <c r="G13" s="725" t="s">
        <v>1345</v>
      </c>
      <c r="H13" s="726">
        <v>0</v>
      </c>
      <c r="I13" s="727">
        <v>1</v>
      </c>
      <c r="J13" s="728"/>
      <c r="K13" s="728"/>
      <c r="L13" s="728">
        <v>0</v>
      </c>
      <c r="M13" s="729"/>
      <c r="N13" s="730"/>
      <c r="O13" s="731"/>
      <c r="P13" s="731"/>
      <c r="Q13" s="720">
        <f t="shared" si="0"/>
        <v>0</v>
      </c>
      <c r="R13" s="847">
        <f>'PLAN ESTRATEGICO'!L11</f>
        <v>0</v>
      </c>
      <c r="S13" s="847">
        <f>'PLAN ESTRATEGICO'!M11</f>
        <v>0</v>
      </c>
      <c r="T13" s="847">
        <f>'PLAN ESTRATEGICO'!N11</f>
        <v>0</v>
      </c>
      <c r="U13" s="847">
        <f>'PLAN ESTRATEGICO'!O11</f>
        <v>0</v>
      </c>
      <c r="V13" s="847">
        <f>'PLAN ESTRATEGICO'!P11</f>
        <v>0</v>
      </c>
      <c r="W13" s="732">
        <v>0</v>
      </c>
      <c r="X13" s="732"/>
      <c r="Y13" s="722"/>
      <c r="Z13" s="722"/>
      <c r="AA13" s="722"/>
      <c r="AB13" s="722"/>
      <c r="AC13" s="722"/>
      <c r="AD13" s="722"/>
      <c r="AE13" s="722"/>
      <c r="AF13" s="722"/>
      <c r="AG13" s="722"/>
      <c r="AH13" s="722"/>
      <c r="AI13" s="722"/>
      <c r="AJ13" s="722"/>
      <c r="AK13" s="722"/>
      <c r="AL13" s="722"/>
      <c r="AM13" s="722"/>
      <c r="AN13" s="722"/>
    </row>
    <row r="14" spans="1:40" s="723" customFormat="1" ht="48" customHeight="1" thickBot="1" x14ac:dyDescent="0.3">
      <c r="A14" s="1780"/>
      <c r="B14" s="1783"/>
      <c r="C14" s="1769"/>
      <c r="D14" s="1786" t="s">
        <v>1357</v>
      </c>
      <c r="E14" s="741" t="s">
        <v>1358</v>
      </c>
      <c r="F14" s="724" t="s">
        <v>1359</v>
      </c>
      <c r="G14" s="725" t="s">
        <v>1345</v>
      </c>
      <c r="H14" s="726">
        <v>1700</v>
      </c>
      <c r="I14" s="727">
        <v>1700</v>
      </c>
      <c r="J14" s="728"/>
      <c r="K14" s="728"/>
      <c r="L14" s="728">
        <v>1700</v>
      </c>
      <c r="M14" s="729"/>
      <c r="N14" s="730"/>
      <c r="O14" s="731"/>
      <c r="P14" s="731"/>
      <c r="Q14" s="720">
        <f t="shared" si="0"/>
        <v>0</v>
      </c>
      <c r="R14" s="847">
        <f>'PLAN ESTRATEGICO'!L12</f>
        <v>0</v>
      </c>
      <c r="S14" s="847">
        <f>'PLAN ESTRATEGICO'!M12</f>
        <v>0</v>
      </c>
      <c r="T14" s="847">
        <f>'PLAN ESTRATEGICO'!N12</f>
        <v>0</v>
      </c>
      <c r="U14" s="847">
        <f>'PLAN ESTRATEGICO'!O12</f>
        <v>0</v>
      </c>
      <c r="V14" s="847">
        <f>'PLAN ESTRATEGICO'!P12</f>
        <v>0</v>
      </c>
      <c r="W14" s="732">
        <v>1700</v>
      </c>
      <c r="X14" s="732"/>
      <c r="Y14" s="722"/>
      <c r="Z14" s="722"/>
      <c r="AA14" s="722"/>
      <c r="AB14" s="722"/>
      <c r="AC14" s="722"/>
      <c r="AD14" s="722"/>
      <c r="AE14" s="722"/>
      <c r="AF14" s="722"/>
      <c r="AG14" s="722"/>
      <c r="AH14" s="722"/>
      <c r="AI14" s="722"/>
      <c r="AJ14" s="722"/>
      <c r="AK14" s="722"/>
      <c r="AL14" s="722"/>
      <c r="AM14" s="722"/>
      <c r="AN14" s="722"/>
    </row>
    <row r="15" spans="1:40" s="723" customFormat="1" ht="42.75" customHeight="1" thickBot="1" x14ac:dyDescent="0.3">
      <c r="A15" s="1780"/>
      <c r="B15" s="1783"/>
      <c r="C15" s="1769"/>
      <c r="D15" s="1786"/>
      <c r="E15" s="741" t="s">
        <v>782</v>
      </c>
      <c r="F15" s="741" t="s">
        <v>783</v>
      </c>
      <c r="G15" s="725" t="s">
        <v>717</v>
      </c>
      <c r="H15" s="742">
        <v>800</v>
      </c>
      <c r="I15" s="743">
        <v>850</v>
      </c>
      <c r="J15" s="744"/>
      <c r="K15" s="744"/>
      <c r="L15" s="744">
        <v>850</v>
      </c>
      <c r="M15" s="745"/>
      <c r="N15" s="746"/>
      <c r="O15" s="747"/>
      <c r="P15" s="747"/>
      <c r="Q15" s="720">
        <f t="shared" si="0"/>
        <v>0</v>
      </c>
      <c r="R15" s="849">
        <f>'PLAN ESTRATEGICO'!L13</f>
        <v>0</v>
      </c>
      <c r="S15" s="849">
        <f>'PLAN ESTRATEGICO'!M13</f>
        <v>0</v>
      </c>
      <c r="T15" s="849">
        <f>'PLAN ESTRATEGICO'!N13</f>
        <v>0</v>
      </c>
      <c r="U15" s="849">
        <f>'PLAN ESTRATEGICO'!O13</f>
        <v>0</v>
      </c>
      <c r="V15" s="849">
        <f>'PLAN ESTRATEGICO'!P13</f>
        <v>0</v>
      </c>
      <c r="W15" s="748">
        <v>850</v>
      </c>
      <c r="X15" s="748"/>
      <c r="Y15" s="722"/>
      <c r="Z15" s="722"/>
      <c r="AA15" s="722"/>
      <c r="AB15" s="722"/>
      <c r="AC15" s="722"/>
      <c r="AD15" s="722"/>
      <c r="AE15" s="722"/>
      <c r="AF15" s="722"/>
      <c r="AG15" s="722"/>
      <c r="AH15" s="722"/>
      <c r="AI15" s="722"/>
      <c r="AJ15" s="722"/>
      <c r="AK15" s="722"/>
      <c r="AL15" s="722"/>
      <c r="AM15" s="722"/>
      <c r="AN15" s="722"/>
    </row>
    <row r="16" spans="1:40" s="723" customFormat="1" ht="41.25" customHeight="1" thickBot="1" x14ac:dyDescent="0.3">
      <c r="A16" s="1780"/>
      <c r="B16" s="1783"/>
      <c r="C16" s="1769"/>
      <c r="D16" s="724" t="s">
        <v>1360</v>
      </c>
      <c r="E16" s="724" t="s">
        <v>786</v>
      </c>
      <c r="F16" s="724" t="s">
        <v>1361</v>
      </c>
      <c r="G16" s="725" t="s">
        <v>1345</v>
      </c>
      <c r="H16" s="726">
        <v>0</v>
      </c>
      <c r="I16" s="727">
        <v>2</v>
      </c>
      <c r="J16" s="728"/>
      <c r="K16" s="728"/>
      <c r="L16" s="728">
        <v>3</v>
      </c>
      <c r="M16" s="729"/>
      <c r="N16" s="730"/>
      <c r="O16" s="731"/>
      <c r="P16" s="731"/>
      <c r="Q16" s="720">
        <f t="shared" si="0"/>
        <v>0</v>
      </c>
      <c r="R16" s="847">
        <f>'PLAN ESTRATEGICO'!L14</f>
        <v>0</v>
      </c>
      <c r="S16" s="847">
        <f>'PLAN ESTRATEGICO'!M14</f>
        <v>0</v>
      </c>
      <c r="T16" s="847">
        <f>'PLAN ESTRATEGICO'!N14</f>
        <v>0</v>
      </c>
      <c r="U16" s="847">
        <f>'PLAN ESTRATEGICO'!O14</f>
        <v>0</v>
      </c>
      <c r="V16" s="847">
        <f>'PLAN ESTRATEGICO'!P14</f>
        <v>0</v>
      </c>
      <c r="W16" s="732">
        <v>1</v>
      </c>
      <c r="X16" s="732"/>
      <c r="Y16" s="722"/>
      <c r="Z16" s="722"/>
      <c r="AA16" s="722"/>
      <c r="AB16" s="722"/>
      <c r="AC16" s="722"/>
      <c r="AD16" s="722"/>
      <c r="AE16" s="722"/>
      <c r="AF16" s="722"/>
      <c r="AG16" s="722"/>
      <c r="AH16" s="722"/>
      <c r="AI16" s="722"/>
      <c r="AJ16" s="722"/>
      <c r="AK16" s="722"/>
      <c r="AL16" s="722"/>
      <c r="AM16" s="722"/>
      <c r="AN16" s="722"/>
    </row>
    <row r="17" spans="1:40" s="723" customFormat="1" ht="58.5" customHeight="1" thickBot="1" x14ac:dyDescent="0.3">
      <c r="A17" s="1780"/>
      <c r="B17" s="1783"/>
      <c r="C17" s="1769"/>
      <c r="D17" s="724" t="s">
        <v>1362</v>
      </c>
      <c r="E17" s="741" t="s">
        <v>1363</v>
      </c>
      <c r="F17" s="724" t="s">
        <v>1364</v>
      </c>
      <c r="G17" s="725" t="s">
        <v>1345</v>
      </c>
      <c r="H17" s="726">
        <v>5</v>
      </c>
      <c r="I17" s="727">
        <v>15</v>
      </c>
      <c r="J17" s="728"/>
      <c r="K17" s="728"/>
      <c r="L17" s="728">
        <v>15</v>
      </c>
      <c r="M17" s="729"/>
      <c r="N17" s="730"/>
      <c r="O17" s="731"/>
      <c r="P17" s="731"/>
      <c r="Q17" s="720">
        <f t="shared" si="0"/>
        <v>2</v>
      </c>
      <c r="R17" s="847">
        <f>'PLAN ESTRATEGICO'!L15</f>
        <v>2</v>
      </c>
      <c r="S17" s="847">
        <f>'PLAN ESTRATEGICO'!M15</f>
        <v>0</v>
      </c>
      <c r="T17" s="847">
        <f>'PLAN ESTRATEGICO'!N15</f>
        <v>0</v>
      </c>
      <c r="U17" s="847">
        <f>'PLAN ESTRATEGICO'!O15</f>
        <v>0</v>
      </c>
      <c r="V17" s="847">
        <f>'PLAN ESTRATEGICO'!P15</f>
        <v>2</v>
      </c>
      <c r="W17" s="732">
        <v>15</v>
      </c>
      <c r="X17" s="732"/>
      <c r="Y17" s="722"/>
      <c r="Z17" s="722"/>
      <c r="AA17" s="722"/>
      <c r="AB17" s="722"/>
      <c r="AC17" s="722"/>
      <c r="AD17" s="722"/>
      <c r="AE17" s="722"/>
      <c r="AF17" s="722"/>
      <c r="AG17" s="722"/>
      <c r="AH17" s="722"/>
      <c r="AI17" s="722"/>
      <c r="AJ17" s="722"/>
      <c r="AK17" s="722"/>
      <c r="AL17" s="722"/>
      <c r="AM17" s="722"/>
      <c r="AN17" s="722"/>
    </row>
    <row r="18" spans="1:40" s="723" customFormat="1" ht="44.25" customHeight="1" thickBot="1" x14ac:dyDescent="0.3">
      <c r="A18" s="1780"/>
      <c r="B18" s="1783"/>
      <c r="C18" s="1787" t="s">
        <v>1365</v>
      </c>
      <c r="D18" s="749" t="s">
        <v>1366</v>
      </c>
      <c r="E18" s="750" t="s">
        <v>792</v>
      </c>
      <c r="F18" s="750" t="s">
        <v>1367</v>
      </c>
      <c r="G18" s="751" t="s">
        <v>717</v>
      </c>
      <c r="H18" s="752">
        <v>1</v>
      </c>
      <c r="I18" s="753">
        <v>1</v>
      </c>
      <c r="J18" s="736"/>
      <c r="K18" s="736"/>
      <c r="L18" s="736">
        <v>1</v>
      </c>
      <c r="M18" s="737"/>
      <c r="N18" s="738"/>
      <c r="O18" s="739"/>
      <c r="P18" s="739"/>
      <c r="Q18" s="720">
        <f t="shared" si="0"/>
        <v>0.25</v>
      </c>
      <c r="R18" s="844">
        <f>'PLAN ESTRATEGICO'!L16</f>
        <v>0.25</v>
      </c>
      <c r="S18" s="844">
        <f>'PLAN ESTRATEGICO'!M16</f>
        <v>0</v>
      </c>
      <c r="T18" s="844">
        <f>'PLAN ESTRATEGICO'!N16</f>
        <v>0</v>
      </c>
      <c r="U18" s="844">
        <f>'PLAN ESTRATEGICO'!O16</f>
        <v>0</v>
      </c>
      <c r="V18" s="844">
        <f>'PLAN ESTRATEGICO'!P16</f>
        <v>0.25</v>
      </c>
      <c r="W18" s="754">
        <v>1</v>
      </c>
      <c r="X18" s="754"/>
      <c r="Y18" s="722"/>
      <c r="Z18" s="722"/>
      <c r="AA18" s="722"/>
      <c r="AB18" s="722"/>
      <c r="AC18" s="722"/>
      <c r="AD18" s="722"/>
      <c r="AE18" s="722"/>
      <c r="AF18" s="722"/>
      <c r="AG18" s="722"/>
      <c r="AH18" s="722"/>
      <c r="AI18" s="722"/>
      <c r="AJ18" s="722"/>
      <c r="AK18" s="722"/>
      <c r="AL18" s="722"/>
      <c r="AM18" s="722"/>
      <c r="AN18" s="722"/>
    </row>
    <row r="19" spans="1:40" s="723" customFormat="1" ht="25.5" customHeight="1" thickBot="1" x14ac:dyDescent="0.3">
      <c r="A19" s="1780"/>
      <c r="B19" s="1783"/>
      <c r="C19" s="1787"/>
      <c r="D19" s="749" t="s">
        <v>1368</v>
      </c>
      <c r="E19" s="750" t="s">
        <v>795</v>
      </c>
      <c r="F19" s="750" t="s">
        <v>796</v>
      </c>
      <c r="G19" s="751" t="s">
        <v>717</v>
      </c>
      <c r="H19" s="755">
        <v>0</v>
      </c>
      <c r="I19" s="756">
        <v>0</v>
      </c>
      <c r="J19" s="728"/>
      <c r="K19" s="728"/>
      <c r="L19" s="728">
        <v>1</v>
      </c>
      <c r="M19" s="729"/>
      <c r="N19" s="730"/>
      <c r="O19" s="731"/>
      <c r="P19" s="731"/>
      <c r="Q19" s="720">
        <f t="shared" si="0"/>
        <v>0</v>
      </c>
      <c r="R19" s="847">
        <f>'PLAN ESTRATEGICO'!L17</f>
        <v>0</v>
      </c>
      <c r="S19" s="847">
        <f>'PLAN ESTRATEGICO'!M17</f>
        <v>0</v>
      </c>
      <c r="T19" s="847">
        <f>'PLAN ESTRATEGICO'!N17</f>
        <v>0</v>
      </c>
      <c r="U19" s="847">
        <f>'PLAN ESTRATEGICO'!O17</f>
        <v>0</v>
      </c>
      <c r="V19" s="847">
        <f>'PLAN ESTRATEGICO'!P17</f>
        <v>0</v>
      </c>
      <c r="W19" s="757">
        <v>0</v>
      </c>
      <c r="X19" s="757"/>
      <c r="Y19" s="722"/>
      <c r="Z19" s="722"/>
      <c r="AA19" s="722"/>
      <c r="AB19" s="722"/>
      <c r="AC19" s="722"/>
      <c r="AD19" s="722"/>
      <c r="AE19" s="722"/>
      <c r="AF19" s="722"/>
      <c r="AG19" s="722"/>
      <c r="AH19" s="722"/>
      <c r="AI19" s="722"/>
      <c r="AJ19" s="722"/>
      <c r="AK19" s="722"/>
      <c r="AL19" s="722"/>
      <c r="AM19" s="722"/>
      <c r="AN19" s="722"/>
    </row>
    <row r="20" spans="1:40" s="723" customFormat="1" ht="52.5" customHeight="1" thickBot="1" x14ac:dyDescent="0.3">
      <c r="A20" s="1781"/>
      <c r="B20" s="1784"/>
      <c r="C20" s="1788"/>
      <c r="D20" s="758" t="s">
        <v>1369</v>
      </c>
      <c r="E20" s="759" t="s">
        <v>799</v>
      </c>
      <c r="F20" s="759" t="s">
        <v>800</v>
      </c>
      <c r="G20" s="760" t="s">
        <v>716</v>
      </c>
      <c r="H20" s="761">
        <v>0.25</v>
      </c>
      <c r="I20" s="762">
        <v>0.25</v>
      </c>
      <c r="J20" s="763"/>
      <c r="K20" s="763"/>
      <c r="L20" s="763">
        <v>0.25</v>
      </c>
      <c r="M20" s="764"/>
      <c r="N20" s="765"/>
      <c r="O20" s="766"/>
      <c r="P20" s="766"/>
      <c r="Q20" s="720">
        <f t="shared" si="0"/>
        <v>0</v>
      </c>
      <c r="R20" s="850">
        <f>'PLAN ESTRATEGICO'!L18</f>
        <v>0</v>
      </c>
      <c r="S20" s="850">
        <f>'PLAN ESTRATEGICO'!M18</f>
        <v>0</v>
      </c>
      <c r="T20" s="850">
        <f>'PLAN ESTRATEGICO'!N18</f>
        <v>0</v>
      </c>
      <c r="U20" s="850">
        <f>'PLAN ESTRATEGICO'!O18</f>
        <v>0</v>
      </c>
      <c r="V20" s="850">
        <f>'PLAN ESTRATEGICO'!P18</f>
        <v>0</v>
      </c>
      <c r="W20" s="767">
        <v>0.25</v>
      </c>
      <c r="X20" s="767"/>
      <c r="Y20" s="722"/>
      <c r="Z20" s="722"/>
      <c r="AA20" s="722"/>
      <c r="AB20" s="722"/>
      <c r="AC20" s="722"/>
      <c r="AD20" s="722"/>
      <c r="AE20" s="722"/>
      <c r="AF20" s="722"/>
      <c r="AG20" s="722"/>
      <c r="AH20" s="722"/>
      <c r="AI20" s="722"/>
      <c r="AJ20" s="722"/>
      <c r="AK20" s="722"/>
      <c r="AL20" s="722"/>
      <c r="AM20" s="722"/>
      <c r="AN20" s="722"/>
    </row>
    <row r="21" spans="1:40" s="723" customFormat="1" ht="55.5" customHeight="1" thickBot="1" x14ac:dyDescent="0.3">
      <c r="A21" s="768">
        <v>2</v>
      </c>
      <c r="B21" s="769" t="s">
        <v>1370</v>
      </c>
      <c r="C21" s="770" t="s">
        <v>1371</v>
      </c>
      <c r="D21" s="770" t="s">
        <v>1372</v>
      </c>
      <c r="E21" s="770" t="s">
        <v>1373</v>
      </c>
      <c r="F21" s="770" t="s">
        <v>1374</v>
      </c>
      <c r="G21" s="771" t="s">
        <v>719</v>
      </c>
      <c r="H21" s="786">
        <v>1</v>
      </c>
      <c r="I21" s="787">
        <v>1</v>
      </c>
      <c r="J21" s="772"/>
      <c r="K21" s="772"/>
      <c r="L21" s="773">
        <v>1</v>
      </c>
      <c r="M21" s="774"/>
      <c r="N21" s="738"/>
      <c r="O21" s="739"/>
      <c r="P21" s="739"/>
      <c r="Q21" s="720">
        <f t="shared" si="0"/>
        <v>0</v>
      </c>
      <c r="R21" s="851">
        <f>GEeI!BG32</f>
        <v>0</v>
      </c>
      <c r="S21" s="851">
        <f>GEeI!BG33</f>
        <v>0</v>
      </c>
      <c r="T21" s="851">
        <f>GEeI!BG34</f>
        <v>0</v>
      </c>
      <c r="U21" s="851">
        <f>GEeI!BG35</f>
        <v>0</v>
      </c>
      <c r="V21" s="851">
        <f>R21+S21+T21+U21</f>
        <v>0</v>
      </c>
      <c r="W21" s="788">
        <v>1</v>
      </c>
      <c r="X21" s="788"/>
      <c r="Y21" s="722"/>
      <c r="Z21" s="722"/>
      <c r="AA21" s="722"/>
      <c r="AB21" s="722"/>
      <c r="AC21" s="722"/>
      <c r="AD21" s="722"/>
      <c r="AE21" s="722"/>
      <c r="AF21" s="722"/>
      <c r="AG21" s="722"/>
      <c r="AH21" s="722"/>
      <c r="AI21" s="722"/>
      <c r="AJ21" s="722"/>
      <c r="AK21" s="722"/>
      <c r="AL21" s="722"/>
      <c r="AM21" s="722"/>
      <c r="AN21" s="722"/>
    </row>
    <row r="22" spans="1:40" s="723" customFormat="1" ht="55.5" customHeight="1" thickBot="1" x14ac:dyDescent="0.3">
      <c r="A22" s="1770">
        <v>3</v>
      </c>
      <c r="B22" s="1773" t="s">
        <v>1375</v>
      </c>
      <c r="C22" s="1774" t="s">
        <v>1376</v>
      </c>
      <c r="D22" s="777" t="s">
        <v>1377</v>
      </c>
      <c r="E22" s="712" t="s">
        <v>1378</v>
      </c>
      <c r="F22" s="712" t="s">
        <v>1379</v>
      </c>
      <c r="G22" s="713" t="s">
        <v>720</v>
      </c>
      <c r="H22" s="778">
        <v>1</v>
      </c>
      <c r="I22" s="779">
        <v>1</v>
      </c>
      <c r="J22" s="772"/>
      <c r="K22" s="772"/>
      <c r="L22" s="772">
        <v>1</v>
      </c>
      <c r="M22" s="774"/>
      <c r="N22" s="738"/>
      <c r="O22" s="739"/>
      <c r="P22" s="739"/>
      <c r="Q22" s="720">
        <f t="shared" si="0"/>
        <v>0</v>
      </c>
      <c r="R22" s="857">
        <v>0</v>
      </c>
      <c r="S22" s="857">
        <v>0</v>
      </c>
      <c r="T22" s="857">
        <v>0</v>
      </c>
      <c r="U22" s="857">
        <v>0</v>
      </c>
      <c r="V22" s="856">
        <f>R22+S22+T22+U22</f>
        <v>0</v>
      </c>
      <c r="W22" s="780">
        <v>1</v>
      </c>
      <c r="X22" s="780"/>
      <c r="Y22" s="722"/>
      <c r="Z22" s="722"/>
      <c r="AA22" s="722"/>
      <c r="AB22" s="722"/>
      <c r="AC22" s="722"/>
      <c r="AD22" s="722"/>
      <c r="AE22" s="722"/>
      <c r="AF22" s="722"/>
      <c r="AG22" s="722"/>
      <c r="AH22" s="722"/>
      <c r="AI22" s="722"/>
      <c r="AJ22" s="722"/>
      <c r="AK22" s="722"/>
      <c r="AL22" s="722"/>
      <c r="AM22" s="722"/>
      <c r="AN22" s="722"/>
    </row>
    <row r="23" spans="1:40" s="723" customFormat="1" ht="51" customHeight="1" thickBot="1" x14ac:dyDescent="0.3">
      <c r="A23" s="1771"/>
      <c r="B23" s="1766"/>
      <c r="C23" s="1775"/>
      <c r="D23" s="781" t="s">
        <v>1380</v>
      </c>
      <c r="E23" s="781" t="s">
        <v>1381</v>
      </c>
      <c r="F23" s="724" t="s">
        <v>1382</v>
      </c>
      <c r="G23" s="725" t="s">
        <v>720</v>
      </c>
      <c r="H23" s="752">
        <v>1</v>
      </c>
      <c r="I23" s="753">
        <v>1</v>
      </c>
      <c r="J23" s="736"/>
      <c r="K23" s="736"/>
      <c r="L23" s="736">
        <v>1</v>
      </c>
      <c r="M23" s="737"/>
      <c r="N23" s="738"/>
      <c r="O23" s="739"/>
      <c r="P23" s="739"/>
      <c r="Q23" s="720">
        <f t="shared" si="0"/>
        <v>0.24990000000000001</v>
      </c>
      <c r="R23" s="844">
        <f>GGH!H5+GGH!L5+GGH!P5</f>
        <v>0.24990000000000001</v>
      </c>
      <c r="S23" s="844">
        <f>GGH!T5+GGH!X5+GGH!AB5</f>
        <v>0</v>
      </c>
      <c r="T23" s="844">
        <f>GGH!AF5+GGH!AJ5+GGH!AN5</f>
        <v>0</v>
      </c>
      <c r="U23" s="844">
        <f>GGH!AR5+GGH!AV5+GGH!AZ5</f>
        <v>0</v>
      </c>
      <c r="V23" s="844">
        <f>GGH!BD5</f>
        <v>0.24990000000000001</v>
      </c>
      <c r="W23" s="754">
        <v>1</v>
      </c>
      <c r="X23" s="754"/>
      <c r="Y23" s="722"/>
      <c r="Z23" s="722"/>
      <c r="AA23" s="722"/>
      <c r="AB23" s="722"/>
      <c r="AC23" s="722"/>
      <c r="AD23" s="722"/>
      <c r="AE23" s="722"/>
      <c r="AF23" s="722"/>
      <c r="AG23" s="722"/>
      <c r="AH23" s="722"/>
      <c r="AI23" s="722"/>
      <c r="AJ23" s="722"/>
      <c r="AK23" s="722"/>
      <c r="AL23" s="722"/>
      <c r="AM23" s="722"/>
      <c r="AN23" s="722"/>
    </row>
    <row r="24" spans="1:40" s="723" customFormat="1" ht="36" customHeight="1" thickBot="1" x14ac:dyDescent="0.3">
      <c r="A24" s="1771"/>
      <c r="B24" s="1766"/>
      <c r="C24" s="1775"/>
      <c r="D24" s="781" t="s">
        <v>1383</v>
      </c>
      <c r="E24" s="724" t="s">
        <v>1384</v>
      </c>
      <c r="F24" s="724" t="s">
        <v>1385</v>
      </c>
      <c r="G24" s="725" t="s">
        <v>720</v>
      </c>
      <c r="H24" s="752">
        <v>1</v>
      </c>
      <c r="I24" s="753">
        <v>1</v>
      </c>
      <c r="J24" s="736"/>
      <c r="K24" s="736"/>
      <c r="L24" s="736">
        <v>1</v>
      </c>
      <c r="M24" s="737"/>
      <c r="N24" s="738"/>
      <c r="O24" s="739"/>
      <c r="P24" s="739"/>
      <c r="Q24" s="720">
        <f t="shared" si="0"/>
        <v>1</v>
      </c>
      <c r="R24" s="845">
        <f>GGH!H12+GGH!L12+GGH!P12</f>
        <v>1</v>
      </c>
      <c r="S24" s="845">
        <f>GGH!T12+GGH!X12+GGH!AB12</f>
        <v>0</v>
      </c>
      <c r="T24" s="845">
        <f>GGH!AF12+GGH!AJ12+GGH!AN12</f>
        <v>0</v>
      </c>
      <c r="U24" s="845">
        <f>GGH!AR12+GGH!AV12+GGH!AZ12</f>
        <v>0</v>
      </c>
      <c r="V24" s="845">
        <f>GGH!BD12</f>
        <v>1</v>
      </c>
      <c r="W24" s="754">
        <v>1</v>
      </c>
      <c r="X24" s="754"/>
      <c r="Y24" s="722"/>
      <c r="Z24" s="722"/>
      <c r="AA24" s="722"/>
      <c r="AB24" s="722"/>
      <c r="AC24" s="722"/>
      <c r="AD24" s="722"/>
      <c r="AE24" s="722"/>
      <c r="AF24" s="722"/>
      <c r="AG24" s="722"/>
      <c r="AH24" s="722"/>
      <c r="AI24" s="722"/>
      <c r="AJ24" s="722"/>
      <c r="AK24" s="722"/>
      <c r="AL24" s="722"/>
      <c r="AM24" s="722"/>
      <c r="AN24" s="722"/>
    </row>
    <row r="25" spans="1:40" s="723" customFormat="1" ht="32.25" customHeight="1" thickBot="1" x14ac:dyDescent="0.3">
      <c r="A25" s="1771"/>
      <c r="B25" s="1766"/>
      <c r="C25" s="1775"/>
      <c r="D25" s="781" t="s">
        <v>1386</v>
      </c>
      <c r="E25" s="724" t="s">
        <v>1387</v>
      </c>
      <c r="F25" s="724" t="s">
        <v>1388</v>
      </c>
      <c r="G25" s="725" t="s">
        <v>720</v>
      </c>
      <c r="H25" s="752">
        <v>1</v>
      </c>
      <c r="I25" s="753">
        <v>1</v>
      </c>
      <c r="J25" s="736"/>
      <c r="K25" s="736"/>
      <c r="L25" s="736">
        <v>1</v>
      </c>
      <c r="M25" s="737"/>
      <c r="N25" s="738"/>
      <c r="O25" s="739"/>
      <c r="P25" s="739"/>
      <c r="Q25" s="720">
        <f t="shared" si="0"/>
        <v>1</v>
      </c>
      <c r="R25" s="845">
        <f>GGH!H15+GGH!L15+GGH!P15</f>
        <v>1</v>
      </c>
      <c r="S25" s="845">
        <f>GGH!T15+GGH!X15+GGH!AB15</f>
        <v>0</v>
      </c>
      <c r="T25" s="845">
        <f>GGH!AF15+GGH!AJ15+GGH!AN15</f>
        <v>0</v>
      </c>
      <c r="U25" s="845">
        <f>GGH!AR15+GGH!AV15+GGH!AZ15</f>
        <v>0</v>
      </c>
      <c r="V25" s="845">
        <f>GGH!BD15</f>
        <v>1</v>
      </c>
      <c r="W25" s="754">
        <v>1</v>
      </c>
      <c r="X25" s="754"/>
      <c r="Y25" s="722"/>
      <c r="Z25" s="722"/>
      <c r="AA25" s="722"/>
      <c r="AB25" s="722"/>
      <c r="AC25" s="722"/>
      <c r="AD25" s="722"/>
      <c r="AE25" s="722"/>
      <c r="AF25" s="722"/>
      <c r="AG25" s="722"/>
      <c r="AH25" s="722"/>
      <c r="AI25" s="722"/>
      <c r="AJ25" s="722"/>
      <c r="AK25" s="722"/>
      <c r="AL25" s="722"/>
      <c r="AM25" s="722"/>
      <c r="AN25" s="722"/>
    </row>
    <row r="26" spans="1:40" s="723" customFormat="1" ht="38.25" customHeight="1" thickBot="1" x14ac:dyDescent="0.3">
      <c r="A26" s="1772"/>
      <c r="B26" s="1767"/>
      <c r="C26" s="1776"/>
      <c r="D26" s="759" t="s">
        <v>1389</v>
      </c>
      <c r="E26" s="759" t="s">
        <v>1390</v>
      </c>
      <c r="F26" s="759" t="s">
        <v>1391</v>
      </c>
      <c r="G26" s="760" t="s">
        <v>720</v>
      </c>
      <c r="H26" s="782">
        <v>1</v>
      </c>
      <c r="I26" s="783">
        <v>1</v>
      </c>
      <c r="J26" s="775"/>
      <c r="K26" s="775"/>
      <c r="L26" s="775">
        <v>1</v>
      </c>
      <c r="M26" s="776"/>
      <c r="N26" s="738"/>
      <c r="O26" s="739"/>
      <c r="P26" s="739"/>
      <c r="Q26" s="720">
        <f t="shared" si="0"/>
        <v>1</v>
      </c>
      <c r="R26" s="845">
        <f>GGH!H18+GGH!L18+GGH!P18</f>
        <v>1</v>
      </c>
      <c r="S26" s="845">
        <f>GGH!T18+GGH!X18+GGH!AB18</f>
        <v>0</v>
      </c>
      <c r="T26" s="845">
        <f>GGH!AF18+GGH!AJ18+GGH!AN18</f>
        <v>0</v>
      </c>
      <c r="U26" s="845">
        <f>GGH!AR18+GGH!AV18+GGH!AZ18</f>
        <v>0</v>
      </c>
      <c r="V26" s="845">
        <f>GGH!BD18</f>
        <v>1</v>
      </c>
      <c r="W26" s="784">
        <v>1</v>
      </c>
      <c r="X26" s="784"/>
      <c r="Y26" s="722"/>
      <c r="Z26" s="722"/>
      <c r="AA26" s="722"/>
      <c r="AB26" s="722"/>
      <c r="AC26" s="722"/>
      <c r="AD26" s="722"/>
      <c r="AE26" s="722"/>
      <c r="AF26" s="722"/>
      <c r="AG26" s="722"/>
      <c r="AH26" s="722"/>
      <c r="AI26" s="722"/>
      <c r="AJ26" s="722"/>
      <c r="AK26" s="722"/>
      <c r="AL26" s="722"/>
      <c r="AM26" s="722"/>
      <c r="AN26" s="722"/>
    </row>
    <row r="27" spans="1:40" s="723" customFormat="1" ht="51.75" customHeight="1" thickBot="1" x14ac:dyDescent="0.3">
      <c r="A27" s="1777">
        <v>4</v>
      </c>
      <c r="B27" s="1773" t="s">
        <v>1392</v>
      </c>
      <c r="C27" s="785" t="s">
        <v>1393</v>
      </c>
      <c r="D27" s="712" t="s">
        <v>1394</v>
      </c>
      <c r="E27" s="712" t="s">
        <v>1395</v>
      </c>
      <c r="F27" s="712" t="s">
        <v>1396</v>
      </c>
      <c r="G27" s="713" t="s">
        <v>717</v>
      </c>
      <c r="H27" s="786">
        <v>1</v>
      </c>
      <c r="I27" s="787">
        <v>1</v>
      </c>
      <c r="J27" s="772"/>
      <c r="K27" s="772"/>
      <c r="L27" s="772">
        <v>1</v>
      </c>
      <c r="M27" s="774"/>
      <c r="N27" s="738"/>
      <c r="O27" s="739"/>
      <c r="P27" s="739"/>
      <c r="Q27" s="720">
        <f t="shared" si="0"/>
        <v>0.24990000000000001</v>
      </c>
      <c r="R27" s="851">
        <f>GPyE!I17+GPyE!M17+GPyE!Q17</f>
        <v>0.24990000000000001</v>
      </c>
      <c r="S27" s="851">
        <f>GPyE!U17+GPyE!Y17+GPyE!AC17</f>
        <v>0</v>
      </c>
      <c r="T27" s="851">
        <f>GPyE!AG17+GPyE!AK17+GPyE!AO17</f>
        <v>0</v>
      </c>
      <c r="U27" s="851">
        <f>GPyE!AS17+GPyE!AW17+GPyE!BA17</f>
        <v>0</v>
      </c>
      <c r="V27" s="851">
        <f>GPyE!BE17</f>
        <v>0.24990000000000001</v>
      </c>
      <c r="W27" s="788">
        <v>1</v>
      </c>
      <c r="X27" s="788"/>
      <c r="Y27" s="722"/>
      <c r="Z27" s="722"/>
      <c r="AA27" s="722"/>
      <c r="AB27" s="722"/>
      <c r="AC27" s="722"/>
      <c r="AD27" s="722"/>
      <c r="AE27" s="722"/>
      <c r="AF27" s="722"/>
      <c r="AG27" s="722"/>
      <c r="AH27" s="722"/>
      <c r="AI27" s="722"/>
      <c r="AJ27" s="722"/>
      <c r="AK27" s="722"/>
      <c r="AL27" s="722"/>
      <c r="AM27" s="722"/>
      <c r="AN27" s="722"/>
    </row>
    <row r="28" spans="1:40" s="723" customFormat="1" ht="34.5" customHeight="1" thickBot="1" x14ac:dyDescent="0.3">
      <c r="A28" s="1763"/>
      <c r="B28" s="1766"/>
      <c r="C28" s="1778" t="s">
        <v>1397</v>
      </c>
      <c r="D28" s="1761" t="s">
        <v>1398</v>
      </c>
      <c r="E28" s="781" t="s">
        <v>1399</v>
      </c>
      <c r="F28" s="724" t="s">
        <v>1400</v>
      </c>
      <c r="G28" s="725" t="s">
        <v>367</v>
      </c>
      <c r="H28" s="789">
        <v>250</v>
      </c>
      <c r="I28" s="790">
        <v>450</v>
      </c>
      <c r="J28" s="791"/>
      <c r="K28" s="791"/>
      <c r="L28" s="791">
        <v>0</v>
      </c>
      <c r="M28" s="792"/>
      <c r="N28" s="793"/>
      <c r="O28" s="794"/>
      <c r="P28" s="794"/>
      <c r="Q28" s="720">
        <f t="shared" si="0"/>
        <v>43.32</v>
      </c>
      <c r="R28" s="852">
        <f>GGA!H21+GGA!L21+GGA!P21</f>
        <v>43.32</v>
      </c>
      <c r="S28" s="852">
        <f>GGA!T21+GGA!X21+GGA!AB21</f>
        <v>0</v>
      </c>
      <c r="T28" s="852">
        <f>GGA!AF21+GGA!AJ21+GGA!AN21</f>
        <v>0</v>
      </c>
      <c r="U28" s="852">
        <f>GGA!AR21+GGA!AV21+GGA!AZ21</f>
        <v>0</v>
      </c>
      <c r="V28" s="852">
        <f>GGA!BD21</f>
        <v>43.32</v>
      </c>
      <c r="W28" s="795">
        <v>0</v>
      </c>
      <c r="X28" s="795"/>
      <c r="Y28" s="722"/>
      <c r="Z28" s="722"/>
      <c r="AA28" s="722"/>
      <c r="AB28" s="722"/>
      <c r="AC28" s="722"/>
      <c r="AD28" s="722"/>
      <c r="AE28" s="722"/>
      <c r="AF28" s="722"/>
      <c r="AG28" s="722"/>
      <c r="AH28" s="722"/>
      <c r="AI28" s="722"/>
      <c r="AJ28" s="722"/>
      <c r="AK28" s="722"/>
      <c r="AL28" s="722"/>
      <c r="AM28" s="722"/>
      <c r="AN28" s="722"/>
    </row>
    <row r="29" spans="1:40" s="723" customFormat="1" ht="45" customHeight="1" thickBot="1" x14ac:dyDescent="0.3">
      <c r="A29" s="1763"/>
      <c r="B29" s="1766"/>
      <c r="C29" s="1778"/>
      <c r="D29" s="1761"/>
      <c r="E29" s="781" t="s">
        <v>1401</v>
      </c>
      <c r="F29" s="724" t="s">
        <v>1402</v>
      </c>
      <c r="G29" s="725" t="s">
        <v>367</v>
      </c>
      <c r="H29" s="789">
        <v>500</v>
      </c>
      <c r="I29" s="790">
        <v>350</v>
      </c>
      <c r="J29" s="791"/>
      <c r="K29" s="791"/>
      <c r="L29" s="791">
        <v>0</v>
      </c>
      <c r="M29" s="792"/>
      <c r="N29" s="793"/>
      <c r="O29" s="794"/>
      <c r="P29" s="794"/>
      <c r="Q29" s="720">
        <f t="shared" si="0"/>
        <v>0</v>
      </c>
      <c r="R29" s="852">
        <f>GGA!H22+GGA!L22+GGA!P22</f>
        <v>0</v>
      </c>
      <c r="S29" s="852">
        <f>GGA!T22+GGA!X22+GGA!AB22</f>
        <v>0</v>
      </c>
      <c r="T29" s="852">
        <f>GGA!AF22+GGA!AJ22+GGA!AN22</f>
        <v>0</v>
      </c>
      <c r="U29" s="852">
        <f>GGA!AR22+GGA!AV22+GGA!AZ22</f>
        <v>0</v>
      </c>
      <c r="V29" s="852">
        <f>GGA!BD22</f>
        <v>0</v>
      </c>
      <c r="W29" s="795">
        <v>0</v>
      </c>
      <c r="X29" s="795"/>
      <c r="Y29" s="722"/>
      <c r="Z29" s="722"/>
      <c r="AA29" s="722"/>
      <c r="AB29" s="722"/>
      <c r="AC29" s="722"/>
      <c r="AD29" s="722"/>
      <c r="AE29" s="722"/>
      <c r="AF29" s="722"/>
      <c r="AG29" s="722"/>
      <c r="AH29" s="722"/>
      <c r="AI29" s="722"/>
      <c r="AJ29" s="722"/>
      <c r="AK29" s="722"/>
      <c r="AL29" s="722"/>
      <c r="AM29" s="722"/>
      <c r="AN29" s="722"/>
    </row>
    <row r="30" spans="1:40" s="723" customFormat="1" ht="27.75" customHeight="1" thickBot="1" x14ac:dyDescent="0.3">
      <c r="A30" s="1763"/>
      <c r="B30" s="1766"/>
      <c r="C30" s="1778"/>
      <c r="D30" s="796" t="s">
        <v>1403</v>
      </c>
      <c r="E30" s="724" t="s">
        <v>1404</v>
      </c>
      <c r="F30" s="724" t="s">
        <v>1405</v>
      </c>
      <c r="G30" s="725" t="s">
        <v>367</v>
      </c>
      <c r="H30" s="734">
        <v>1</v>
      </c>
      <c r="I30" s="735">
        <v>0</v>
      </c>
      <c r="J30" s="736"/>
      <c r="K30" s="736"/>
      <c r="L30" s="736">
        <v>0</v>
      </c>
      <c r="M30" s="737"/>
      <c r="N30" s="738"/>
      <c r="O30" s="739"/>
      <c r="P30" s="739"/>
      <c r="Q30" s="720">
        <f t="shared" si="0"/>
        <v>0.24990000000000001</v>
      </c>
      <c r="R30" s="853">
        <f>GGA!H18+GGA!L18+GGA!P18</f>
        <v>0.24990000000000001</v>
      </c>
      <c r="S30" s="853">
        <f>GGA!T18+GGA!X18+GGA!AB18</f>
        <v>0</v>
      </c>
      <c r="T30" s="853">
        <f>GGA!AF18+GGA!AJ18+GGA!AN18</f>
        <v>0</v>
      </c>
      <c r="U30" s="853">
        <f>GGA!AR18+GGA!AV18+GGA!AZ18</f>
        <v>0</v>
      </c>
      <c r="V30" s="853">
        <f>GGA!BD18</f>
        <v>0.24990000000000001</v>
      </c>
      <c r="W30" s="740">
        <v>0</v>
      </c>
      <c r="X30" s="740"/>
      <c r="Y30" s="722"/>
      <c r="Z30" s="722"/>
      <c r="AA30" s="722"/>
      <c r="AB30" s="722"/>
      <c r="AC30" s="722"/>
      <c r="AD30" s="722"/>
      <c r="AE30" s="722"/>
      <c r="AF30" s="722"/>
      <c r="AG30" s="722"/>
      <c r="AH30" s="722"/>
      <c r="AI30" s="722"/>
      <c r="AJ30" s="722"/>
      <c r="AK30" s="722"/>
      <c r="AL30" s="722"/>
      <c r="AM30" s="722"/>
      <c r="AN30" s="722"/>
    </row>
    <row r="31" spans="1:40" s="723" customFormat="1" ht="26.25" thickBot="1" x14ac:dyDescent="0.3">
      <c r="A31" s="1763"/>
      <c r="B31" s="1766"/>
      <c r="C31" s="1778"/>
      <c r="D31" s="781" t="s">
        <v>1406</v>
      </c>
      <c r="E31" s="724" t="s">
        <v>1407</v>
      </c>
      <c r="F31" s="724" t="s">
        <v>1408</v>
      </c>
      <c r="G31" s="725" t="s">
        <v>367</v>
      </c>
      <c r="H31" s="734">
        <v>0.2</v>
      </c>
      <c r="I31" s="735">
        <v>0.15</v>
      </c>
      <c r="J31" s="736"/>
      <c r="K31" s="736"/>
      <c r="L31" s="736">
        <v>0.1</v>
      </c>
      <c r="M31" s="737"/>
      <c r="N31" s="738"/>
      <c r="O31" s="739"/>
      <c r="P31" s="739"/>
      <c r="Q31" s="720">
        <f t="shared" si="0"/>
        <v>0</v>
      </c>
      <c r="R31" s="853">
        <f>GGA!H12+GGA!L12+GGA!P12</f>
        <v>0</v>
      </c>
      <c r="S31" s="853">
        <f>GGA!T12+GGA!X12+GGA!AB12</f>
        <v>0</v>
      </c>
      <c r="T31" s="853">
        <f>GGA!AF12+GGA!AJ12+GGA!AN12</f>
        <v>0</v>
      </c>
      <c r="U31" s="853">
        <f>GGA!AR12+GGA!AV12+GGA!AZ12</f>
        <v>0</v>
      </c>
      <c r="V31" s="853">
        <f>GGA!BD12</f>
        <v>0</v>
      </c>
      <c r="W31" s="740">
        <v>0.05</v>
      </c>
      <c r="X31" s="740"/>
      <c r="Y31" s="722"/>
      <c r="Z31" s="722"/>
      <c r="AA31" s="722"/>
      <c r="AB31" s="722"/>
      <c r="AC31" s="722"/>
      <c r="AD31" s="722"/>
      <c r="AE31" s="722"/>
      <c r="AF31" s="722"/>
      <c r="AG31" s="722"/>
      <c r="AH31" s="722"/>
      <c r="AI31" s="722"/>
      <c r="AJ31" s="722"/>
      <c r="AK31" s="722"/>
      <c r="AL31" s="722"/>
      <c r="AM31" s="722"/>
      <c r="AN31" s="722"/>
    </row>
    <row r="32" spans="1:40" s="723" customFormat="1" ht="44.25" customHeight="1" thickBot="1" x14ac:dyDescent="0.3">
      <c r="A32" s="1763"/>
      <c r="B32" s="1766"/>
      <c r="C32" s="1778"/>
      <c r="D32" s="797" t="s">
        <v>1409</v>
      </c>
      <c r="E32" s="724" t="s">
        <v>1410</v>
      </c>
      <c r="F32" s="724" t="s">
        <v>1411</v>
      </c>
      <c r="G32" s="725" t="s">
        <v>367</v>
      </c>
      <c r="H32" s="734">
        <v>1</v>
      </c>
      <c r="I32" s="735">
        <v>1</v>
      </c>
      <c r="J32" s="736"/>
      <c r="K32" s="736"/>
      <c r="L32" s="736">
        <v>1</v>
      </c>
      <c r="M32" s="737"/>
      <c r="N32" s="738"/>
      <c r="O32" s="739"/>
      <c r="P32" s="739"/>
      <c r="Q32" s="720">
        <f t="shared" si="0"/>
        <v>0.24990000000000001</v>
      </c>
      <c r="R32" s="858">
        <f>GGA!H23+GGA!L23+GGA!P23</f>
        <v>0.24990000000000001</v>
      </c>
      <c r="S32" s="858">
        <f>GGA!T23+GGA!X23+GGA!AB23</f>
        <v>0</v>
      </c>
      <c r="T32" s="858">
        <f>GGA!AF23+GGA!AJ23+GGA!AN23</f>
        <v>0</v>
      </c>
      <c r="U32" s="858">
        <f>GGA!AR23+GGA!AV23+GGA!AZ23</f>
        <v>0</v>
      </c>
      <c r="V32" s="853">
        <f>GGA!BD23</f>
        <v>0.24990000000000001</v>
      </c>
      <c r="W32" s="740">
        <v>1</v>
      </c>
      <c r="X32" s="740"/>
      <c r="Y32" s="722"/>
      <c r="Z32" s="722"/>
      <c r="AA32" s="722"/>
      <c r="AB32" s="722"/>
      <c r="AC32" s="722"/>
      <c r="AD32" s="722"/>
      <c r="AE32" s="722"/>
      <c r="AF32" s="722"/>
      <c r="AG32" s="722"/>
      <c r="AH32" s="722"/>
      <c r="AI32" s="722"/>
      <c r="AJ32" s="722"/>
      <c r="AK32" s="722"/>
      <c r="AL32" s="722"/>
      <c r="AM32" s="722"/>
      <c r="AN32" s="722"/>
    </row>
    <row r="33" spans="1:40" s="723" customFormat="1" ht="72.75" customHeight="1" thickBot="1" x14ac:dyDescent="0.3">
      <c r="A33" s="1763"/>
      <c r="B33" s="1766"/>
      <c r="C33" s="781" t="s">
        <v>1412</v>
      </c>
      <c r="D33" s="796" t="s">
        <v>1413</v>
      </c>
      <c r="E33" s="724" t="s">
        <v>1414</v>
      </c>
      <c r="F33" s="724" t="s">
        <v>1415</v>
      </c>
      <c r="G33" s="725" t="s">
        <v>367</v>
      </c>
      <c r="H33" s="798">
        <v>1</v>
      </c>
      <c r="I33" s="799">
        <v>1</v>
      </c>
      <c r="J33" s="800"/>
      <c r="K33" s="800"/>
      <c r="L33" s="800">
        <v>1</v>
      </c>
      <c r="M33" s="801"/>
      <c r="N33" s="765"/>
      <c r="O33" s="766"/>
      <c r="P33" s="766"/>
      <c r="Q33" s="720">
        <f t="shared" si="0"/>
        <v>0</v>
      </c>
      <c r="R33" s="859">
        <v>0</v>
      </c>
      <c r="S33" s="859">
        <v>0</v>
      </c>
      <c r="T33" s="859">
        <v>0</v>
      </c>
      <c r="U33" s="859">
        <v>0</v>
      </c>
      <c r="V33" s="859">
        <v>0</v>
      </c>
      <c r="W33" s="802">
        <v>1</v>
      </c>
      <c r="X33" s="802"/>
      <c r="Y33" s="722"/>
      <c r="Z33" s="722"/>
      <c r="AA33" s="722"/>
      <c r="AB33" s="722"/>
      <c r="AC33" s="722"/>
      <c r="AD33" s="722"/>
      <c r="AE33" s="722"/>
      <c r="AF33" s="722"/>
      <c r="AG33" s="722"/>
      <c r="AH33" s="722"/>
      <c r="AI33" s="722"/>
      <c r="AJ33" s="722"/>
      <c r="AK33" s="722"/>
      <c r="AL33" s="722"/>
      <c r="AM33" s="722"/>
      <c r="AN33" s="722"/>
    </row>
    <row r="34" spans="1:40" s="723" customFormat="1" ht="55.5" customHeight="1" thickBot="1" x14ac:dyDescent="0.3">
      <c r="A34" s="1764"/>
      <c r="B34" s="1767"/>
      <c r="C34" s="803" t="s">
        <v>1416</v>
      </c>
      <c r="D34" s="803" t="s">
        <v>1417</v>
      </c>
      <c r="E34" s="803" t="s">
        <v>1418</v>
      </c>
      <c r="F34" s="759" t="s">
        <v>1419</v>
      </c>
      <c r="G34" s="760" t="s">
        <v>1420</v>
      </c>
      <c r="H34" s="804">
        <v>0.61250000000000004</v>
      </c>
      <c r="I34" s="805">
        <v>0.77500000000000002</v>
      </c>
      <c r="J34" s="806"/>
      <c r="K34" s="806"/>
      <c r="L34" s="807">
        <v>0.9</v>
      </c>
      <c r="M34" s="808"/>
      <c r="N34" s="809"/>
      <c r="O34" s="810"/>
      <c r="P34" s="810"/>
      <c r="Q34" s="720">
        <f t="shared" si="0"/>
        <v>0</v>
      </c>
      <c r="R34" s="859">
        <v>0</v>
      </c>
      <c r="S34" s="859">
        <v>0</v>
      </c>
      <c r="T34" s="859">
        <v>0</v>
      </c>
      <c r="U34" s="859">
        <v>0</v>
      </c>
      <c r="V34" s="859">
        <v>0</v>
      </c>
      <c r="W34" s="811">
        <v>1</v>
      </c>
      <c r="X34" s="811"/>
      <c r="Y34" s="722"/>
      <c r="Z34" s="722"/>
      <c r="AA34" s="722"/>
      <c r="AB34" s="722"/>
      <c r="AC34" s="722"/>
      <c r="AD34" s="722"/>
      <c r="AE34" s="722"/>
      <c r="AF34" s="722"/>
      <c r="AG34" s="722"/>
      <c r="AH34" s="722"/>
      <c r="AI34" s="722"/>
      <c r="AJ34" s="722"/>
      <c r="AK34" s="722"/>
      <c r="AL34" s="722"/>
      <c r="AM34" s="722"/>
      <c r="AN34" s="722"/>
    </row>
    <row r="35" spans="1:40" s="723" customFormat="1" ht="40.5" customHeight="1" thickBot="1" x14ac:dyDescent="0.3">
      <c r="A35" s="1762">
        <v>5</v>
      </c>
      <c r="B35" s="1765" t="s">
        <v>1421</v>
      </c>
      <c r="C35" s="1768" t="s">
        <v>1422</v>
      </c>
      <c r="D35" s="812" t="s">
        <v>1423</v>
      </c>
      <c r="E35" s="813" t="s">
        <v>1424</v>
      </c>
      <c r="F35" s="813" t="s">
        <v>1425</v>
      </c>
      <c r="G35" s="814" t="s">
        <v>718</v>
      </c>
      <c r="H35" s="815">
        <v>0.9</v>
      </c>
      <c r="I35" s="816">
        <v>0.9</v>
      </c>
      <c r="J35" s="817"/>
      <c r="K35" s="817"/>
      <c r="L35" s="817">
        <v>0.92</v>
      </c>
      <c r="M35" s="818"/>
      <c r="N35" s="809"/>
      <c r="O35" s="810"/>
      <c r="P35" s="810"/>
      <c r="Q35" s="720">
        <f t="shared" si="0"/>
        <v>0</v>
      </c>
      <c r="R35" s="859">
        <v>0</v>
      </c>
      <c r="S35" s="859">
        <v>0</v>
      </c>
      <c r="T35" s="859">
        <v>0</v>
      </c>
      <c r="U35" s="859">
        <v>0</v>
      </c>
      <c r="V35" s="859">
        <v>0</v>
      </c>
      <c r="W35" s="819">
        <v>92</v>
      </c>
      <c r="X35" s="819"/>
      <c r="Y35" s="722"/>
      <c r="Z35" s="722"/>
      <c r="AA35" s="722"/>
      <c r="AB35" s="722"/>
      <c r="AC35" s="722"/>
      <c r="AD35" s="722"/>
      <c r="AE35" s="722"/>
      <c r="AF35" s="722"/>
      <c r="AG35" s="722"/>
      <c r="AH35" s="722"/>
      <c r="AI35" s="722"/>
      <c r="AJ35" s="722"/>
      <c r="AK35" s="722"/>
      <c r="AL35" s="722"/>
      <c r="AM35" s="722"/>
      <c r="AN35" s="722"/>
    </row>
    <row r="36" spans="1:40" s="723" customFormat="1" ht="46.5" customHeight="1" thickBot="1" x14ac:dyDescent="0.3">
      <c r="A36" s="1763"/>
      <c r="B36" s="1766"/>
      <c r="C36" s="1769"/>
      <c r="D36" s="781" t="s">
        <v>1426</v>
      </c>
      <c r="E36" s="724" t="s">
        <v>1427</v>
      </c>
      <c r="F36" s="724" t="s">
        <v>1428</v>
      </c>
      <c r="G36" s="725" t="s">
        <v>718</v>
      </c>
      <c r="H36" s="820">
        <v>0.98</v>
      </c>
      <c r="I36" s="821">
        <v>0.98</v>
      </c>
      <c r="J36" s="822"/>
      <c r="K36" s="822"/>
      <c r="L36" s="822">
        <v>0.99</v>
      </c>
      <c r="M36" s="823"/>
      <c r="N36" s="809"/>
      <c r="O36" s="810"/>
      <c r="P36" s="810"/>
      <c r="Q36" s="720">
        <f t="shared" si="0"/>
        <v>0</v>
      </c>
      <c r="R36" s="859">
        <v>0</v>
      </c>
      <c r="S36" s="859">
        <v>0</v>
      </c>
      <c r="T36" s="859">
        <v>0</v>
      </c>
      <c r="U36" s="859">
        <v>0</v>
      </c>
      <c r="V36" s="859">
        <v>0</v>
      </c>
      <c r="W36" s="824">
        <v>0.99</v>
      </c>
      <c r="X36" s="824"/>
      <c r="Y36" s="722"/>
      <c r="Z36" s="722"/>
      <c r="AA36" s="722"/>
      <c r="AB36" s="722"/>
      <c r="AC36" s="722"/>
      <c r="AD36" s="722"/>
      <c r="AE36" s="722"/>
      <c r="AF36" s="722"/>
      <c r="AG36" s="722"/>
      <c r="AH36" s="722"/>
      <c r="AI36" s="722"/>
      <c r="AJ36" s="722"/>
      <c r="AK36" s="722"/>
      <c r="AL36" s="722"/>
      <c r="AM36" s="722"/>
      <c r="AN36" s="722"/>
    </row>
    <row r="37" spans="1:40" s="723" customFormat="1" ht="38.25" customHeight="1" thickBot="1" x14ac:dyDescent="0.3">
      <c r="A37" s="1763"/>
      <c r="B37" s="1766"/>
      <c r="C37" s="825" t="s">
        <v>1429</v>
      </c>
      <c r="D37" s="781" t="s">
        <v>1430</v>
      </c>
      <c r="E37" s="724" t="s">
        <v>1431</v>
      </c>
      <c r="F37" s="724" t="s">
        <v>1432</v>
      </c>
      <c r="G37" s="725" t="s">
        <v>718</v>
      </c>
      <c r="H37" s="820">
        <v>1</v>
      </c>
      <c r="I37" s="821">
        <v>1</v>
      </c>
      <c r="J37" s="822"/>
      <c r="K37" s="822"/>
      <c r="L37" s="822">
        <v>1</v>
      </c>
      <c r="M37" s="823"/>
      <c r="N37" s="809"/>
      <c r="O37" s="810"/>
      <c r="P37" s="810"/>
      <c r="Q37" s="720">
        <f t="shared" si="0"/>
        <v>0</v>
      </c>
      <c r="R37" s="859">
        <v>0</v>
      </c>
      <c r="S37" s="859">
        <v>0</v>
      </c>
      <c r="T37" s="859">
        <v>0</v>
      </c>
      <c r="U37" s="859">
        <v>0</v>
      </c>
      <c r="V37" s="859">
        <v>0</v>
      </c>
      <c r="W37" s="826">
        <v>1</v>
      </c>
      <c r="X37" s="826"/>
      <c r="Y37" s="722"/>
      <c r="Z37" s="722"/>
      <c r="AA37" s="722"/>
      <c r="AB37" s="722"/>
      <c r="AC37" s="722"/>
      <c r="AD37" s="722"/>
      <c r="AE37" s="722"/>
      <c r="AF37" s="722"/>
      <c r="AG37" s="722"/>
      <c r="AH37" s="722"/>
      <c r="AI37" s="722"/>
      <c r="AJ37" s="722"/>
      <c r="AK37" s="722"/>
      <c r="AL37" s="722"/>
      <c r="AM37" s="722"/>
      <c r="AN37" s="722"/>
    </row>
    <row r="38" spans="1:40" s="723" customFormat="1" ht="46.5" customHeight="1" thickBot="1" x14ac:dyDescent="0.3">
      <c r="A38" s="1764"/>
      <c r="B38" s="1767"/>
      <c r="C38" s="827" t="s">
        <v>1433</v>
      </c>
      <c r="D38" s="803" t="s">
        <v>1434</v>
      </c>
      <c r="E38" s="759" t="s">
        <v>1435</v>
      </c>
      <c r="F38" s="759" t="s">
        <v>1405</v>
      </c>
      <c r="G38" s="760" t="s">
        <v>718</v>
      </c>
      <c r="H38" s="828">
        <v>1</v>
      </c>
      <c r="I38" s="829">
        <v>1</v>
      </c>
      <c r="J38" s="807"/>
      <c r="K38" s="807"/>
      <c r="L38" s="807">
        <v>1</v>
      </c>
      <c r="M38" s="808"/>
      <c r="N38" s="830"/>
      <c r="O38" s="831"/>
      <c r="P38" s="831"/>
      <c r="Q38" s="720">
        <f t="shared" si="0"/>
        <v>0</v>
      </c>
      <c r="R38" s="859">
        <v>0</v>
      </c>
      <c r="S38" s="859">
        <v>0</v>
      </c>
      <c r="T38" s="859">
        <v>0</v>
      </c>
      <c r="U38" s="859">
        <v>0</v>
      </c>
      <c r="V38" s="859">
        <v>0</v>
      </c>
      <c r="W38" s="811">
        <v>1</v>
      </c>
      <c r="X38" s="811"/>
      <c r="Y38" s="722"/>
      <c r="Z38" s="722"/>
      <c r="AA38" s="722"/>
      <c r="AB38" s="722"/>
      <c r="AC38" s="722"/>
      <c r="AD38" s="722"/>
      <c r="AE38" s="722"/>
      <c r="AF38" s="722"/>
      <c r="AG38" s="722"/>
      <c r="AH38" s="722"/>
      <c r="AI38" s="722"/>
      <c r="AJ38" s="722"/>
      <c r="AK38" s="722"/>
      <c r="AL38" s="722"/>
      <c r="AM38" s="722"/>
      <c r="AN38" s="722"/>
    </row>
    <row r="39" spans="1:40" s="723" customFormat="1" ht="13.5" x14ac:dyDescent="0.25">
      <c r="A39" s="722"/>
      <c r="B39" s="722"/>
      <c r="C39" s="832"/>
      <c r="D39" s="832"/>
      <c r="E39" s="833"/>
      <c r="F39" s="833"/>
      <c r="G39" s="833"/>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row>
    <row r="40" spans="1:40" x14ac:dyDescent="0.2">
      <c r="A40" s="701"/>
      <c r="B40" s="701"/>
      <c r="C40" s="834"/>
      <c r="D40" s="834"/>
      <c r="E40" s="835"/>
      <c r="F40" s="835"/>
      <c r="G40" s="835"/>
      <c r="H40" s="701"/>
      <c r="I40" s="701"/>
      <c r="J40" s="701"/>
      <c r="K40" s="701"/>
      <c r="L40" s="701"/>
      <c r="M40" s="701"/>
      <c r="N40" s="701"/>
      <c r="O40" s="701"/>
      <c r="P40" s="701"/>
      <c r="Q40" s="701"/>
      <c r="R40" s="701"/>
      <c r="S40" s="701"/>
      <c r="T40" s="701"/>
      <c r="U40" s="701"/>
      <c r="V40" s="701"/>
      <c r="W40" s="701"/>
    </row>
    <row r="41" spans="1:40" x14ac:dyDescent="0.2">
      <c r="A41" s="701"/>
      <c r="B41" s="701"/>
      <c r="C41" s="834"/>
      <c r="D41" s="834"/>
      <c r="E41" s="835"/>
      <c r="F41" s="835"/>
      <c r="G41" s="835"/>
      <c r="H41" s="701"/>
      <c r="I41" s="836"/>
      <c r="J41" s="836"/>
      <c r="K41" s="836"/>
      <c r="L41" s="836"/>
      <c r="M41" s="836"/>
      <c r="N41" s="836"/>
      <c r="O41" s="836"/>
      <c r="P41" s="836"/>
      <c r="Q41" s="836"/>
      <c r="R41" s="836"/>
      <c r="S41" s="836"/>
      <c r="T41" s="836"/>
      <c r="U41" s="836"/>
      <c r="V41" s="836"/>
      <c r="W41" s="836"/>
    </row>
    <row r="42" spans="1:40" x14ac:dyDescent="0.2">
      <c r="A42" s="701"/>
      <c r="B42" s="701"/>
      <c r="C42" s="834"/>
      <c r="D42" s="834"/>
      <c r="E42" s="835"/>
      <c r="F42" s="835"/>
      <c r="G42" s="835"/>
      <c r="H42" s="701"/>
      <c r="I42" s="836"/>
      <c r="J42" s="836"/>
      <c r="K42" s="836"/>
      <c r="L42" s="836"/>
      <c r="M42" s="836"/>
      <c r="N42" s="836"/>
      <c r="O42" s="836"/>
      <c r="P42" s="836"/>
      <c r="Q42" s="836"/>
      <c r="R42" s="836"/>
      <c r="S42" s="836"/>
      <c r="T42" s="836"/>
      <c r="U42" s="836"/>
      <c r="V42" s="836"/>
      <c r="W42" s="836"/>
    </row>
  </sheetData>
  <mergeCells count="29">
    <mergeCell ref="A1:W1"/>
    <mergeCell ref="A2:A3"/>
    <mergeCell ref="B2:B3"/>
    <mergeCell ref="C2:C3"/>
    <mergeCell ref="D2:D3"/>
    <mergeCell ref="E2:E3"/>
    <mergeCell ref="F2:F3"/>
    <mergeCell ref="G2:G3"/>
    <mergeCell ref="J2:M2"/>
    <mergeCell ref="N2:Q2"/>
    <mergeCell ref="R2:U2"/>
    <mergeCell ref="A4:A20"/>
    <mergeCell ref="B4:B20"/>
    <mergeCell ref="C4:C12"/>
    <mergeCell ref="D4:D6"/>
    <mergeCell ref="D8:D9"/>
    <mergeCell ref="C13:C17"/>
    <mergeCell ref="D14:D15"/>
    <mergeCell ref="C18:C20"/>
    <mergeCell ref="D28:D29"/>
    <mergeCell ref="A35:A38"/>
    <mergeCell ref="B35:B38"/>
    <mergeCell ref="C35:C36"/>
    <mergeCell ref="A22:A26"/>
    <mergeCell ref="B22:B26"/>
    <mergeCell ref="C22:C26"/>
    <mergeCell ref="A27:A34"/>
    <mergeCell ref="B27:B34"/>
    <mergeCell ref="C28:C32"/>
  </mergeCells>
  <printOptions horizontalCentered="1"/>
  <pageMargins left="0" right="0" top="0.19685039370078741" bottom="0.19685039370078741" header="0.31496062992125984" footer="0.31496062992125984"/>
  <pageSetup scale="71" orientation="landscape" r:id="rId1"/>
  <rowBreaks count="3" manualBreakCount="3">
    <brk id="20" max="10" man="1"/>
    <brk id="34" max="10" man="1"/>
    <brk id="38" max="10"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GEyP</vt:lpstr>
      <vt:lpstr>GAESPO</vt:lpstr>
      <vt:lpstr>GDS</vt:lpstr>
      <vt:lpstr>OCI</vt:lpstr>
      <vt:lpstr>OAJ</vt:lpstr>
      <vt:lpstr>GGH</vt:lpstr>
      <vt:lpstr>GGF</vt:lpstr>
      <vt:lpstr>GGA</vt:lpstr>
      <vt:lpstr>GCyP</vt:lpstr>
      <vt:lpstr>GEeI</vt:lpstr>
      <vt:lpstr>GPyE</vt:lpstr>
      <vt:lpstr>GTIC</vt:lpstr>
      <vt:lpstr>TOTAL</vt:lpstr>
      <vt:lpstr>PLAN ESTRATEGICO</vt:lpstr>
      <vt:lpstr>PLAN SECTORIAL </vt:lpstr>
      <vt:lpstr>Perso ben</vt:lpstr>
      <vt:lpstr>Perso cap</vt:lpstr>
      <vt:lpstr>Compras locales </vt:lpstr>
      <vt:lpstr>PND </vt:lpstr>
      <vt:lpstr>PROYECTOS</vt:lpstr>
      <vt:lpstr>MODELO INTEGRADO</vt:lpstr>
      <vt:lpstr>'Compras locales '!Área_de_impresión</vt:lpstr>
      <vt:lpstr>GAESPO!Área_de_impresión</vt:lpstr>
      <vt:lpstr>GCyP!Área_de_impresión</vt:lpstr>
      <vt:lpstr>GDS!Área_de_impresión</vt:lpstr>
      <vt:lpstr>GEeI!Área_de_impresión</vt:lpstr>
      <vt:lpstr>GEyP!Área_de_impresión</vt:lpstr>
      <vt:lpstr>GGA!Área_de_impresión</vt:lpstr>
      <vt:lpstr>GGF!Área_de_impresión</vt:lpstr>
      <vt:lpstr>GGH!Área_de_impresión</vt:lpstr>
      <vt:lpstr>GPyE!Área_de_impresión</vt:lpstr>
      <vt:lpstr>GTIC!Área_de_impresión</vt:lpstr>
      <vt:lpstr>'MODELO INTEGRADO'!Área_de_impresión</vt:lpstr>
      <vt:lpstr>OAJ!Área_de_impresión</vt:lpstr>
      <vt:lpstr>OCI!Área_de_impresión</vt:lpstr>
      <vt:lpstr>'Perso ben'!Área_de_impresión</vt:lpstr>
      <vt:lpstr>'Perso cap'!Área_de_impresión</vt:lpstr>
      <vt:lpstr>'PLAN ESTRATEGICO'!Área_de_impresión</vt:lpstr>
      <vt:lpstr>'PLAN SECTORIAL '!Área_de_impresión</vt:lpstr>
      <vt:lpstr>'Compras locales '!Títulos_a_imprimir</vt:lpstr>
      <vt:lpstr>GEeI!Títulos_a_imprimir</vt:lpstr>
      <vt:lpstr>GGH!Títulos_a_imprimir</vt:lpstr>
      <vt:lpstr>GPyE!Títulos_a_imprimir</vt:lpstr>
      <vt:lpstr>'MODELO INTEGRADO'!Títulos_a_imprimir</vt:lpstr>
      <vt:lpstr>OCI!Títulos_a_imprimir</vt:lpstr>
      <vt:lpstr>'Perso ben'!Títulos_a_imprimir</vt:lpstr>
      <vt:lpstr>'Perso cap'!Títulos_a_imprimir</vt:lpstr>
      <vt:lpstr>'PLAN SECTORIAL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dcterms:created xsi:type="dcterms:W3CDTF">2018-02-12T15:15:08Z</dcterms:created>
  <dcterms:modified xsi:type="dcterms:W3CDTF">2018-04-12T19:25:40Z</dcterms:modified>
</cp:coreProperties>
</file>